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ndler\Desktop\IVT-cloud\TECHNOBCHOD\POMUCKY\_Filip - temp\Poměry energií TČ vs bivalence\"/>
    </mc:Choice>
  </mc:AlternateContent>
  <xr:revisionPtr revIDLastSave="0" documentId="13_ncr:1_{D6BC0CFC-C81F-4845-B634-784097CD3151}" xr6:coauthVersionLast="47" xr6:coauthVersionMax="47" xr10:uidLastSave="{00000000-0000-0000-0000-000000000000}"/>
  <workbookProtection workbookAlgorithmName="SHA-512" workbookHashValue="LnBq1HOdTQUDykC7VEav7TXIhQE3bdE8CTNv2C7addvyMx67nOxh5KwXgMupOW6KZUntxF+0cv2XrdoyTQWtxQ==" workbookSaltValue="trnBkkF2AS5HR5iIu41oEw==" workbookSpinCount="100000" lockStructure="1"/>
  <bookViews>
    <workbookView xWindow="28680" yWindow="-120" windowWidth="29040" windowHeight="15840" xr2:uid="{161F9508-1FEE-4539-9D5D-1E86FBD4371F}"/>
  </bookViews>
  <sheets>
    <sheet name="Návod" sheetId="10" r:id="rId1"/>
    <sheet name="Výpočet" sheetId="9" r:id="rId2"/>
    <sheet name="Pomery_vykonu" sheetId="1" state="hidden" r:id="rId3"/>
    <sheet name="Vyber_typu" sheetId="5" state="hidden" r:id="rId4"/>
    <sheet name="VykonyTC_tab" sheetId="11" state="hidden" r:id="rId5"/>
    <sheet name="TV" sheetId="8" state="hidden" r:id="rId6"/>
    <sheet name="lokality" sheetId="6" state="hidden" r:id="rId7"/>
    <sheet name="AIR X" sheetId="4" state="hidden" r:id="rId8"/>
    <sheet name="Heliotherm" sheetId="3" state="hidden" r:id="rId9"/>
    <sheet name="GEO G" sheetId="7" state="hidden" r:id="rId10"/>
  </sheets>
  <definedNames>
    <definedName name="_xlnm.Print_Area" localSheetId="1">Výpočet!$A$1:$M$85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48" i="1"/>
  <c r="D36" i="1"/>
  <c r="G34" i="1"/>
  <c r="B5" i="5" l="1"/>
  <c r="C5" i="5" s="1"/>
  <c r="EN45" i="11"/>
  <c r="EN46" i="11" s="1"/>
  <c r="EN47" i="11" s="1"/>
  <c r="EN48" i="11" s="1"/>
  <c r="EN49" i="11" s="1"/>
  <c r="EN50" i="11" s="1"/>
  <c r="EN51" i="11" s="1"/>
  <c r="EN52" i="11" s="1"/>
  <c r="EK45" i="11"/>
  <c r="EK46" i="11" s="1"/>
  <c r="EK47" i="11" s="1"/>
  <c r="EK48" i="11" s="1"/>
  <c r="EK49" i="11" s="1"/>
  <c r="EK50" i="11" s="1"/>
  <c r="EK51" i="11" s="1"/>
  <c r="EK52" i="11" s="1"/>
  <c r="EJ45" i="11"/>
  <c r="EJ46" i="11" s="1"/>
  <c r="EJ47" i="11" s="1"/>
  <c r="EJ48" i="11" s="1"/>
  <c r="EJ49" i="11" s="1"/>
  <c r="EJ50" i="11" s="1"/>
  <c r="EJ51" i="11" s="1"/>
  <c r="EJ52" i="11" s="1"/>
  <c r="EO44" i="11"/>
  <c r="EO45" i="11" s="1"/>
  <c r="EO46" i="11" s="1"/>
  <c r="EO47" i="11" s="1"/>
  <c r="EO48" i="11" s="1"/>
  <c r="EO49" i="11" s="1"/>
  <c r="EO50" i="11" s="1"/>
  <c r="EO51" i="11" s="1"/>
  <c r="EO52" i="11" s="1"/>
  <c r="EN44" i="11"/>
  <c r="EM44" i="11"/>
  <c r="EM45" i="11" s="1"/>
  <c r="EM46" i="11" s="1"/>
  <c r="EM47" i="11" s="1"/>
  <c r="EM48" i="11" s="1"/>
  <c r="EM49" i="11" s="1"/>
  <c r="EM50" i="11" s="1"/>
  <c r="EM51" i="11" s="1"/>
  <c r="EM52" i="11" s="1"/>
  <c r="EL44" i="11"/>
  <c r="EL45" i="11" s="1"/>
  <c r="EL46" i="11" s="1"/>
  <c r="EL47" i="11" s="1"/>
  <c r="EL48" i="11" s="1"/>
  <c r="EL49" i="11" s="1"/>
  <c r="EL50" i="11" s="1"/>
  <c r="EL51" i="11" s="1"/>
  <c r="EL52" i="11" s="1"/>
  <c r="EK44" i="11"/>
  <c r="EJ44" i="11"/>
  <c r="EO43" i="11"/>
  <c r="EN43" i="11"/>
  <c r="EM43" i="11"/>
  <c r="EL43" i="11"/>
  <c r="EK43" i="11"/>
  <c r="EJ43" i="11"/>
  <c r="EQ21" i="11"/>
  <c r="EQ22" i="11" s="1"/>
  <c r="EQ23" i="11" s="1"/>
  <c r="EQ24" i="11" s="1"/>
  <c r="EQ25" i="11" s="1"/>
  <c r="EQ26" i="11" s="1"/>
  <c r="EQ27" i="11" s="1"/>
  <c r="EQ28" i="11" s="1"/>
  <c r="EQ29" i="11" s="1"/>
  <c r="EQ30" i="11" s="1"/>
  <c r="EQ31" i="11" s="1"/>
  <c r="EQ32" i="11" s="1"/>
  <c r="EQ33" i="11" s="1"/>
  <c r="EQ34" i="11" s="1"/>
  <c r="EQ35" i="11" s="1"/>
  <c r="EQ36" i="11" s="1"/>
  <c r="EQ37" i="11" s="1"/>
  <c r="EQ38" i="11" s="1"/>
  <c r="EQ39" i="11" s="1"/>
  <c r="EQ40" i="11" s="1"/>
  <c r="EQ41" i="11" s="1"/>
  <c r="ER21" i="11"/>
  <c r="ER22" i="11" s="1"/>
  <c r="ER23" i="11" s="1"/>
  <c r="ER24" i="11" s="1"/>
  <c r="ER25" i="11" s="1"/>
  <c r="ER26" i="11" s="1"/>
  <c r="ER27" i="11" s="1"/>
  <c r="ER28" i="11" s="1"/>
  <c r="ER29" i="11" s="1"/>
  <c r="ER30" i="11" s="1"/>
  <c r="ER31" i="11" s="1"/>
  <c r="ER32" i="11" s="1"/>
  <c r="ER33" i="11" s="1"/>
  <c r="ER34" i="11" s="1"/>
  <c r="ER35" i="11" s="1"/>
  <c r="ER36" i="11" s="1"/>
  <c r="ER37" i="11" s="1"/>
  <c r="ER38" i="11" s="1"/>
  <c r="ER39" i="11" s="1"/>
  <c r="ER40" i="11" s="1"/>
  <c r="ER41" i="11" s="1"/>
  <c r="ES21" i="11"/>
  <c r="ES22" i="11" s="1"/>
  <c r="ES23" i="11" s="1"/>
  <c r="ES24" i="11" s="1"/>
  <c r="ES25" i="11" s="1"/>
  <c r="ES26" i="11" s="1"/>
  <c r="ES27" i="11" s="1"/>
  <c r="ES28" i="11" s="1"/>
  <c r="ES29" i="11" s="1"/>
  <c r="ES30" i="11" s="1"/>
  <c r="ES31" i="11" s="1"/>
  <c r="ES32" i="11" s="1"/>
  <c r="ES33" i="11" s="1"/>
  <c r="ES34" i="11" s="1"/>
  <c r="ES35" i="11" s="1"/>
  <c r="ES36" i="11" s="1"/>
  <c r="ES37" i="11" s="1"/>
  <c r="ES38" i="11" s="1"/>
  <c r="ES39" i="11" s="1"/>
  <c r="ES40" i="11" s="1"/>
  <c r="ES41" i="11" s="1"/>
  <c r="ET21" i="11"/>
  <c r="ET22" i="11" s="1"/>
  <c r="ET23" i="11" s="1"/>
  <c r="ET24" i="11" s="1"/>
  <c r="ET25" i="11" s="1"/>
  <c r="ET26" i="11" s="1"/>
  <c r="ET27" i="11" s="1"/>
  <c r="ET28" i="11" s="1"/>
  <c r="ET29" i="11" s="1"/>
  <c r="ET30" i="11" s="1"/>
  <c r="ET31" i="11" s="1"/>
  <c r="ET32" i="11" s="1"/>
  <c r="ET33" i="11" s="1"/>
  <c r="ET34" i="11" s="1"/>
  <c r="ET35" i="11" s="1"/>
  <c r="ET36" i="11" s="1"/>
  <c r="ET37" i="11" s="1"/>
  <c r="ET38" i="11" s="1"/>
  <c r="ET39" i="11" s="1"/>
  <c r="ET40" i="11" s="1"/>
  <c r="ET41" i="11" s="1"/>
  <c r="EU21" i="11"/>
  <c r="EV21" i="11"/>
  <c r="EW21" i="11"/>
  <c r="EX21" i="11"/>
  <c r="EY21" i="11"/>
  <c r="EY22" i="11" s="1"/>
  <c r="EY23" i="11" s="1"/>
  <c r="EY24" i="11" s="1"/>
  <c r="EY25" i="11" s="1"/>
  <c r="EY26" i="11" s="1"/>
  <c r="EY27" i="11" s="1"/>
  <c r="EY28" i="11" s="1"/>
  <c r="EY29" i="11" s="1"/>
  <c r="EY30" i="11" s="1"/>
  <c r="EY31" i="11" s="1"/>
  <c r="EY32" i="11" s="1"/>
  <c r="EY33" i="11" s="1"/>
  <c r="EY34" i="11" s="1"/>
  <c r="EY35" i="11" s="1"/>
  <c r="EY36" i="11" s="1"/>
  <c r="EY37" i="11" s="1"/>
  <c r="EY38" i="11" s="1"/>
  <c r="EY39" i="11" s="1"/>
  <c r="EY40" i="11" s="1"/>
  <c r="EY41" i="11" s="1"/>
  <c r="EZ21" i="11"/>
  <c r="FA21" i="11"/>
  <c r="FA22" i="11" s="1"/>
  <c r="FA23" i="11" s="1"/>
  <c r="FA24" i="11" s="1"/>
  <c r="FA25" i="11" s="1"/>
  <c r="FA26" i="11" s="1"/>
  <c r="FA27" i="11" s="1"/>
  <c r="FA28" i="11" s="1"/>
  <c r="FA29" i="11" s="1"/>
  <c r="FA30" i="11" s="1"/>
  <c r="FA31" i="11" s="1"/>
  <c r="FA32" i="11" s="1"/>
  <c r="FA33" i="11" s="1"/>
  <c r="FA34" i="11" s="1"/>
  <c r="FA35" i="11" s="1"/>
  <c r="FA36" i="11" s="1"/>
  <c r="FA37" i="11" s="1"/>
  <c r="FA38" i="11" s="1"/>
  <c r="FA39" i="11" s="1"/>
  <c r="FA40" i="11" s="1"/>
  <c r="FA41" i="11" s="1"/>
  <c r="FB21" i="11"/>
  <c r="FC21" i="11"/>
  <c r="FC22" i="11" s="1"/>
  <c r="FC23" i="11" s="1"/>
  <c r="FC24" i="11" s="1"/>
  <c r="FC25" i="11" s="1"/>
  <c r="FC26" i="11" s="1"/>
  <c r="FC27" i="11" s="1"/>
  <c r="FC28" i="11" s="1"/>
  <c r="FC29" i="11" s="1"/>
  <c r="FC30" i="11" s="1"/>
  <c r="FC31" i="11" s="1"/>
  <c r="FC32" i="11" s="1"/>
  <c r="FC33" i="11" s="1"/>
  <c r="FC34" i="11" s="1"/>
  <c r="FC35" i="11" s="1"/>
  <c r="FC36" i="11" s="1"/>
  <c r="FC37" i="11" s="1"/>
  <c r="FC38" i="11" s="1"/>
  <c r="FC39" i="11" s="1"/>
  <c r="FC40" i="11" s="1"/>
  <c r="FC41" i="11" s="1"/>
  <c r="FD21" i="11"/>
  <c r="FD22" i="11" s="1"/>
  <c r="FD23" i="11" s="1"/>
  <c r="FD24" i="11" s="1"/>
  <c r="FD25" i="11" s="1"/>
  <c r="FD26" i="11" s="1"/>
  <c r="FD27" i="11" s="1"/>
  <c r="FD28" i="11" s="1"/>
  <c r="FD29" i="11" s="1"/>
  <c r="FD30" i="11" s="1"/>
  <c r="FD31" i="11" s="1"/>
  <c r="FD32" i="11" s="1"/>
  <c r="FD33" i="11" s="1"/>
  <c r="FD34" i="11" s="1"/>
  <c r="FD35" i="11" s="1"/>
  <c r="FD36" i="11" s="1"/>
  <c r="FD37" i="11" s="1"/>
  <c r="FD38" i="11" s="1"/>
  <c r="FD39" i="11" s="1"/>
  <c r="FD40" i="11" s="1"/>
  <c r="FD41" i="11" s="1"/>
  <c r="FE21" i="11"/>
  <c r="FE22" i="11" s="1"/>
  <c r="FE23" i="11" s="1"/>
  <c r="FE24" i="11" s="1"/>
  <c r="FE25" i="11" s="1"/>
  <c r="FE26" i="11" s="1"/>
  <c r="FE27" i="11" s="1"/>
  <c r="FE28" i="11" s="1"/>
  <c r="FE29" i="11" s="1"/>
  <c r="FE30" i="11" s="1"/>
  <c r="FE31" i="11" s="1"/>
  <c r="FE32" i="11" s="1"/>
  <c r="FE33" i="11" s="1"/>
  <c r="FE34" i="11" s="1"/>
  <c r="FE35" i="11" s="1"/>
  <c r="FE36" i="11" s="1"/>
  <c r="FE37" i="11" s="1"/>
  <c r="FE38" i="11" s="1"/>
  <c r="FE39" i="11" s="1"/>
  <c r="FE40" i="11" s="1"/>
  <c r="FE41" i="11" s="1"/>
  <c r="FF21" i="11"/>
  <c r="FF22" i="11" s="1"/>
  <c r="FF23" i="11" s="1"/>
  <c r="FF24" i="11" s="1"/>
  <c r="FF25" i="11" s="1"/>
  <c r="FF26" i="11" s="1"/>
  <c r="FF27" i="11" s="1"/>
  <c r="FF28" i="11" s="1"/>
  <c r="FF29" i="11" s="1"/>
  <c r="FF30" i="11" s="1"/>
  <c r="FF31" i="11" s="1"/>
  <c r="FF32" i="11" s="1"/>
  <c r="FF33" i="11" s="1"/>
  <c r="FF34" i="11" s="1"/>
  <c r="FF35" i="11" s="1"/>
  <c r="FF36" i="11" s="1"/>
  <c r="FF37" i="11" s="1"/>
  <c r="FF38" i="11" s="1"/>
  <c r="FF39" i="11" s="1"/>
  <c r="FF40" i="11" s="1"/>
  <c r="FF41" i="11" s="1"/>
  <c r="FG21" i="11"/>
  <c r="FH21" i="11"/>
  <c r="FI21" i="11"/>
  <c r="FJ21" i="11"/>
  <c r="FK21" i="11"/>
  <c r="FK22" i="11" s="1"/>
  <c r="FK23" i="11" s="1"/>
  <c r="FK24" i="11" s="1"/>
  <c r="FK25" i="11" s="1"/>
  <c r="FK26" i="11" s="1"/>
  <c r="FK27" i="11" s="1"/>
  <c r="FK28" i="11" s="1"/>
  <c r="FK29" i="11" s="1"/>
  <c r="FK30" i="11" s="1"/>
  <c r="FK31" i="11" s="1"/>
  <c r="FK32" i="11" s="1"/>
  <c r="FK33" i="11" s="1"/>
  <c r="FK34" i="11" s="1"/>
  <c r="FK35" i="11" s="1"/>
  <c r="FK36" i="11" s="1"/>
  <c r="FK37" i="11" s="1"/>
  <c r="FK38" i="11" s="1"/>
  <c r="FK39" i="11" s="1"/>
  <c r="FK40" i="11" s="1"/>
  <c r="FK41" i="11" s="1"/>
  <c r="FL21" i="11"/>
  <c r="FM21" i="11"/>
  <c r="FM22" i="11" s="1"/>
  <c r="FM23" i="11" s="1"/>
  <c r="FM24" i="11" s="1"/>
  <c r="FM25" i="11" s="1"/>
  <c r="FM26" i="11" s="1"/>
  <c r="FM27" i="11" s="1"/>
  <c r="FM28" i="11" s="1"/>
  <c r="FM29" i="11" s="1"/>
  <c r="FM30" i="11" s="1"/>
  <c r="FM31" i="11" s="1"/>
  <c r="FM32" i="11" s="1"/>
  <c r="FM33" i="11" s="1"/>
  <c r="FM34" i="11" s="1"/>
  <c r="FM35" i="11" s="1"/>
  <c r="FM36" i="11" s="1"/>
  <c r="FM37" i="11" s="1"/>
  <c r="FM38" i="11" s="1"/>
  <c r="FM39" i="11" s="1"/>
  <c r="FM40" i="11" s="1"/>
  <c r="FM41" i="11" s="1"/>
  <c r="EU22" i="11"/>
  <c r="EU23" i="11" s="1"/>
  <c r="EU24" i="11" s="1"/>
  <c r="EU25" i="11" s="1"/>
  <c r="EU26" i="11" s="1"/>
  <c r="EU27" i="11" s="1"/>
  <c r="EU28" i="11" s="1"/>
  <c r="EU29" i="11" s="1"/>
  <c r="EU30" i="11" s="1"/>
  <c r="EU31" i="11" s="1"/>
  <c r="EU32" i="11" s="1"/>
  <c r="EU33" i="11" s="1"/>
  <c r="EU34" i="11" s="1"/>
  <c r="EU35" i="11" s="1"/>
  <c r="EU36" i="11" s="1"/>
  <c r="EU37" i="11" s="1"/>
  <c r="EU38" i="11" s="1"/>
  <c r="EU39" i="11" s="1"/>
  <c r="EU40" i="11" s="1"/>
  <c r="EU41" i="11" s="1"/>
  <c r="EV22" i="11"/>
  <c r="EW22" i="11"/>
  <c r="EX22" i="11"/>
  <c r="EZ22" i="11"/>
  <c r="EZ23" i="11" s="1"/>
  <c r="EZ24" i="11" s="1"/>
  <c r="EZ25" i="11" s="1"/>
  <c r="EZ26" i="11" s="1"/>
  <c r="EZ27" i="11" s="1"/>
  <c r="EZ28" i="11" s="1"/>
  <c r="EZ29" i="11" s="1"/>
  <c r="EZ30" i="11" s="1"/>
  <c r="EZ31" i="11" s="1"/>
  <c r="EZ32" i="11" s="1"/>
  <c r="EZ33" i="11" s="1"/>
  <c r="EZ34" i="11" s="1"/>
  <c r="EZ35" i="11" s="1"/>
  <c r="EZ36" i="11" s="1"/>
  <c r="EZ37" i="11" s="1"/>
  <c r="EZ38" i="11" s="1"/>
  <c r="EZ39" i="11" s="1"/>
  <c r="EZ40" i="11" s="1"/>
  <c r="EZ41" i="11" s="1"/>
  <c r="FB22" i="11"/>
  <c r="FB23" i="11" s="1"/>
  <c r="FB24" i="11" s="1"/>
  <c r="FB25" i="11" s="1"/>
  <c r="FB26" i="11" s="1"/>
  <c r="FB27" i="11" s="1"/>
  <c r="FB28" i="11" s="1"/>
  <c r="FB29" i="11" s="1"/>
  <c r="FB30" i="11" s="1"/>
  <c r="FB31" i="11" s="1"/>
  <c r="FB32" i="11" s="1"/>
  <c r="FB33" i="11" s="1"/>
  <c r="FB34" i="11" s="1"/>
  <c r="FB35" i="11" s="1"/>
  <c r="FB36" i="11" s="1"/>
  <c r="FB37" i="11" s="1"/>
  <c r="FB38" i="11" s="1"/>
  <c r="FB39" i="11" s="1"/>
  <c r="FB40" i="11" s="1"/>
  <c r="FB41" i="11" s="1"/>
  <c r="FG22" i="11"/>
  <c r="FG23" i="11" s="1"/>
  <c r="FG24" i="11" s="1"/>
  <c r="FG25" i="11" s="1"/>
  <c r="FG26" i="11" s="1"/>
  <c r="FG27" i="11" s="1"/>
  <c r="FG28" i="11" s="1"/>
  <c r="FG29" i="11" s="1"/>
  <c r="FG30" i="11" s="1"/>
  <c r="FG31" i="11" s="1"/>
  <c r="FG32" i="11" s="1"/>
  <c r="FG33" i="11" s="1"/>
  <c r="FG34" i="11" s="1"/>
  <c r="FG35" i="11" s="1"/>
  <c r="FG36" i="11" s="1"/>
  <c r="FG37" i="11" s="1"/>
  <c r="FG38" i="11" s="1"/>
  <c r="FG39" i="11" s="1"/>
  <c r="FG40" i="11" s="1"/>
  <c r="FG41" i="11" s="1"/>
  <c r="FH22" i="11"/>
  <c r="FI22" i="11"/>
  <c r="FJ22" i="11"/>
  <c r="FL22" i="11"/>
  <c r="FL23" i="11" s="1"/>
  <c r="FL24" i="11" s="1"/>
  <c r="FL25" i="11" s="1"/>
  <c r="FL26" i="11" s="1"/>
  <c r="FL27" i="11" s="1"/>
  <c r="FL28" i="11" s="1"/>
  <c r="FL29" i="11" s="1"/>
  <c r="FL30" i="11" s="1"/>
  <c r="FL31" i="11" s="1"/>
  <c r="FL32" i="11" s="1"/>
  <c r="FL33" i="11" s="1"/>
  <c r="FL34" i="11" s="1"/>
  <c r="FL35" i="11" s="1"/>
  <c r="FL36" i="11" s="1"/>
  <c r="FL37" i="11" s="1"/>
  <c r="FL38" i="11" s="1"/>
  <c r="FL39" i="11" s="1"/>
  <c r="FL40" i="11" s="1"/>
  <c r="FL41" i="11" s="1"/>
  <c r="EV23" i="11"/>
  <c r="EV24" i="11" s="1"/>
  <c r="EV25" i="11" s="1"/>
  <c r="EV26" i="11" s="1"/>
  <c r="EV27" i="11" s="1"/>
  <c r="EV28" i="11" s="1"/>
  <c r="EV29" i="11" s="1"/>
  <c r="EV30" i="11" s="1"/>
  <c r="EV31" i="11" s="1"/>
  <c r="EV32" i="11" s="1"/>
  <c r="EV33" i="11" s="1"/>
  <c r="EV34" i="11" s="1"/>
  <c r="EV35" i="11" s="1"/>
  <c r="EV36" i="11" s="1"/>
  <c r="EV37" i="11" s="1"/>
  <c r="EV38" i="11" s="1"/>
  <c r="EV39" i="11" s="1"/>
  <c r="EV40" i="11" s="1"/>
  <c r="EV41" i="11" s="1"/>
  <c r="EW23" i="11"/>
  <c r="EX23" i="11"/>
  <c r="FH23" i="11"/>
  <c r="FH24" i="11" s="1"/>
  <c r="FH25" i="11" s="1"/>
  <c r="FH26" i="11" s="1"/>
  <c r="FH27" i="11" s="1"/>
  <c r="FH28" i="11" s="1"/>
  <c r="FH29" i="11" s="1"/>
  <c r="FH30" i="11" s="1"/>
  <c r="FH31" i="11" s="1"/>
  <c r="FH32" i="11" s="1"/>
  <c r="FH33" i="11" s="1"/>
  <c r="FH34" i="11" s="1"/>
  <c r="FH35" i="11" s="1"/>
  <c r="FH36" i="11" s="1"/>
  <c r="FH37" i="11" s="1"/>
  <c r="FH38" i="11" s="1"/>
  <c r="FH39" i="11" s="1"/>
  <c r="FH40" i="11" s="1"/>
  <c r="FH41" i="11" s="1"/>
  <c r="FI23" i="11"/>
  <c r="FI24" i="11" s="1"/>
  <c r="FI25" i="11" s="1"/>
  <c r="FI26" i="11" s="1"/>
  <c r="FI27" i="11" s="1"/>
  <c r="FI28" i="11" s="1"/>
  <c r="FI29" i="11" s="1"/>
  <c r="FI30" i="11" s="1"/>
  <c r="FI31" i="11" s="1"/>
  <c r="FI32" i="11" s="1"/>
  <c r="FI33" i="11" s="1"/>
  <c r="FI34" i="11" s="1"/>
  <c r="FI35" i="11" s="1"/>
  <c r="FI36" i="11" s="1"/>
  <c r="FI37" i="11" s="1"/>
  <c r="FI38" i="11" s="1"/>
  <c r="FI39" i="11" s="1"/>
  <c r="FI40" i="11" s="1"/>
  <c r="FI41" i="11" s="1"/>
  <c r="FJ23" i="11"/>
  <c r="EW24" i="11"/>
  <c r="EW25" i="11" s="1"/>
  <c r="EW26" i="11" s="1"/>
  <c r="EW27" i="11" s="1"/>
  <c r="EW28" i="11" s="1"/>
  <c r="EW29" i="11" s="1"/>
  <c r="EW30" i="11" s="1"/>
  <c r="EW31" i="11" s="1"/>
  <c r="EW32" i="11" s="1"/>
  <c r="EW33" i="11" s="1"/>
  <c r="EW34" i="11" s="1"/>
  <c r="EW35" i="11" s="1"/>
  <c r="EW36" i="11" s="1"/>
  <c r="EW37" i="11" s="1"/>
  <c r="EW38" i="11" s="1"/>
  <c r="EW39" i="11" s="1"/>
  <c r="EW40" i="11" s="1"/>
  <c r="EW41" i="11" s="1"/>
  <c r="EX24" i="11"/>
  <c r="EX25" i="11" s="1"/>
  <c r="EX26" i="11" s="1"/>
  <c r="EX27" i="11" s="1"/>
  <c r="EX28" i="11" s="1"/>
  <c r="EX29" i="11" s="1"/>
  <c r="EX30" i="11" s="1"/>
  <c r="EX31" i="11" s="1"/>
  <c r="EX32" i="11" s="1"/>
  <c r="EX33" i="11" s="1"/>
  <c r="EX34" i="11" s="1"/>
  <c r="EX35" i="11" s="1"/>
  <c r="EX36" i="11" s="1"/>
  <c r="EX37" i="11" s="1"/>
  <c r="EX38" i="11" s="1"/>
  <c r="EX39" i="11" s="1"/>
  <c r="EX40" i="11" s="1"/>
  <c r="EX41" i="11" s="1"/>
  <c r="FJ24" i="11"/>
  <c r="FJ25" i="11" s="1"/>
  <c r="FJ26" i="11" s="1"/>
  <c r="FJ27" i="11" s="1"/>
  <c r="FJ28" i="11" s="1"/>
  <c r="FJ29" i="11" s="1"/>
  <c r="FJ30" i="11" s="1"/>
  <c r="FJ31" i="11" s="1"/>
  <c r="FJ32" i="11" s="1"/>
  <c r="FJ33" i="11" s="1"/>
  <c r="FJ34" i="11" s="1"/>
  <c r="FJ35" i="11" s="1"/>
  <c r="FJ36" i="11" s="1"/>
  <c r="FJ37" i="11" s="1"/>
  <c r="FJ38" i="11" s="1"/>
  <c r="FJ39" i="11" s="1"/>
  <c r="FJ40" i="11" s="1"/>
  <c r="FJ41" i="11" s="1"/>
  <c r="EP22" i="11"/>
  <c r="EP23" i="11" s="1"/>
  <c r="EP24" i="11" s="1"/>
  <c r="EP25" i="11" s="1"/>
  <c r="EP26" i="11" s="1"/>
  <c r="EP27" i="11" s="1"/>
  <c r="EP28" i="11" s="1"/>
  <c r="EP29" i="11" s="1"/>
  <c r="EP30" i="11" s="1"/>
  <c r="EP31" i="11" s="1"/>
  <c r="EP32" i="11" s="1"/>
  <c r="EP33" i="11" s="1"/>
  <c r="EP34" i="11" s="1"/>
  <c r="EP35" i="11" s="1"/>
  <c r="EP36" i="11" s="1"/>
  <c r="EP37" i="11" s="1"/>
  <c r="EP38" i="11" s="1"/>
  <c r="EP39" i="11" s="1"/>
  <c r="EP40" i="11" s="1"/>
  <c r="EP41" i="11" s="1"/>
  <c r="EP21" i="11"/>
  <c r="EK38" i="11"/>
  <c r="EL38" i="11"/>
  <c r="EL39" i="11" s="1"/>
  <c r="EL40" i="11" s="1"/>
  <c r="EL41" i="11" s="1"/>
  <c r="EL42" i="11" s="1"/>
  <c r="EM38" i="11"/>
  <c r="EM39" i="11" s="1"/>
  <c r="EM40" i="11" s="1"/>
  <c r="EM41" i="11" s="1"/>
  <c r="EM42" i="11" s="1"/>
  <c r="EN38" i="11"/>
  <c r="EN39" i="11" s="1"/>
  <c r="EN40" i="11" s="1"/>
  <c r="EN41" i="11" s="1"/>
  <c r="EN42" i="11" s="1"/>
  <c r="EO38" i="11"/>
  <c r="EO39" i="11" s="1"/>
  <c r="EO40" i="11" s="1"/>
  <c r="EO41" i="11" s="1"/>
  <c r="EO42" i="11" s="1"/>
  <c r="EK39" i="11"/>
  <c r="EK40" i="11" s="1"/>
  <c r="EK41" i="11" s="1"/>
  <c r="EK42" i="11" s="1"/>
  <c r="EJ39" i="11"/>
  <c r="EJ40" i="11" s="1"/>
  <c r="EJ41" i="11" s="1"/>
  <c r="EJ42" i="11" s="1"/>
  <c r="EJ38" i="11"/>
  <c r="EK21" i="11"/>
  <c r="EK22" i="11" s="1"/>
  <c r="EK23" i="11" s="1"/>
  <c r="EK24" i="11" s="1"/>
  <c r="EK25" i="11" s="1"/>
  <c r="EK26" i="11" s="1"/>
  <c r="EK27" i="11" s="1"/>
  <c r="EK28" i="11" s="1"/>
  <c r="EK29" i="11" s="1"/>
  <c r="EK30" i="11" s="1"/>
  <c r="EK31" i="11" s="1"/>
  <c r="EK32" i="11" s="1"/>
  <c r="EK33" i="11" s="1"/>
  <c r="EK34" i="11" s="1"/>
  <c r="EK35" i="11" s="1"/>
  <c r="EK36" i="11" s="1"/>
  <c r="EL21" i="11"/>
  <c r="EL22" i="11" s="1"/>
  <c r="EL23" i="11" s="1"/>
  <c r="EL24" i="11" s="1"/>
  <c r="EL25" i="11" s="1"/>
  <c r="EL26" i="11" s="1"/>
  <c r="EL27" i="11" s="1"/>
  <c r="EL28" i="11" s="1"/>
  <c r="EL29" i="11" s="1"/>
  <c r="EL30" i="11" s="1"/>
  <c r="EL31" i="11" s="1"/>
  <c r="EL32" i="11" s="1"/>
  <c r="EL33" i="11" s="1"/>
  <c r="EL34" i="11" s="1"/>
  <c r="EL35" i="11" s="1"/>
  <c r="EL36" i="11" s="1"/>
  <c r="EM21" i="11"/>
  <c r="EN21" i="11"/>
  <c r="EO21" i="11"/>
  <c r="EM22" i="11"/>
  <c r="EN22" i="11"/>
  <c r="EO22" i="11"/>
  <c r="EO23" i="11" s="1"/>
  <c r="EO24" i="11" s="1"/>
  <c r="EO25" i="11" s="1"/>
  <c r="EO26" i="11" s="1"/>
  <c r="EO27" i="11" s="1"/>
  <c r="EO28" i="11" s="1"/>
  <c r="EO29" i="11" s="1"/>
  <c r="EO30" i="11" s="1"/>
  <c r="EO31" i="11" s="1"/>
  <c r="EO32" i="11" s="1"/>
  <c r="EO33" i="11" s="1"/>
  <c r="EO34" i="11" s="1"/>
  <c r="EO35" i="11" s="1"/>
  <c r="EO36" i="11" s="1"/>
  <c r="EM23" i="11"/>
  <c r="EM24" i="11" s="1"/>
  <c r="EM25" i="11" s="1"/>
  <c r="EM26" i="11" s="1"/>
  <c r="EM27" i="11" s="1"/>
  <c r="EM28" i="11" s="1"/>
  <c r="EM29" i="11" s="1"/>
  <c r="EM30" i="11" s="1"/>
  <c r="EM31" i="11" s="1"/>
  <c r="EM32" i="11" s="1"/>
  <c r="EM33" i="11" s="1"/>
  <c r="EM34" i="11" s="1"/>
  <c r="EM35" i="11" s="1"/>
  <c r="EM36" i="11" s="1"/>
  <c r="EN23" i="11"/>
  <c r="EN24" i="11" s="1"/>
  <c r="EN25" i="11" s="1"/>
  <c r="EN26" i="11" s="1"/>
  <c r="EN27" i="11" s="1"/>
  <c r="EN28" i="11" s="1"/>
  <c r="EN29" i="11" s="1"/>
  <c r="EN30" i="11" s="1"/>
  <c r="EN31" i="11" s="1"/>
  <c r="EN32" i="11" s="1"/>
  <c r="EN33" i="11" s="1"/>
  <c r="EN34" i="11" s="1"/>
  <c r="EN35" i="11" s="1"/>
  <c r="EN36" i="11" s="1"/>
  <c r="EJ22" i="11"/>
  <c r="EJ23" i="11" s="1"/>
  <c r="EJ24" i="11" s="1"/>
  <c r="EJ25" i="11" s="1"/>
  <c r="EJ26" i="11" s="1"/>
  <c r="EJ27" i="11" s="1"/>
  <c r="EJ28" i="11" s="1"/>
  <c r="EJ29" i="11" s="1"/>
  <c r="EJ30" i="11" s="1"/>
  <c r="EJ31" i="11" s="1"/>
  <c r="EJ32" i="11" s="1"/>
  <c r="EJ33" i="11" s="1"/>
  <c r="EJ34" i="11" s="1"/>
  <c r="EJ35" i="11" s="1"/>
  <c r="EJ36" i="11" s="1"/>
  <c r="EJ21" i="11"/>
  <c r="N2" i="5"/>
  <c r="DR45" i="11" l="1"/>
  <c r="DR46" i="11" s="1"/>
  <c r="DR47" i="11" s="1"/>
  <c r="DR48" i="11" s="1"/>
  <c r="DR49" i="11" s="1"/>
  <c r="DR50" i="11" s="1"/>
  <c r="DR51" i="11" s="1"/>
  <c r="DR52" i="11" s="1"/>
  <c r="DS45" i="11"/>
  <c r="DS46" i="11" s="1"/>
  <c r="DS47" i="11" s="1"/>
  <c r="DS48" i="11" s="1"/>
  <c r="DS49" i="11" s="1"/>
  <c r="DS50" i="11" s="1"/>
  <c r="DS51" i="11" s="1"/>
  <c r="DS52" i="11" s="1"/>
  <c r="DT45" i="11"/>
  <c r="DT46" i="11" s="1"/>
  <c r="DT47" i="11" s="1"/>
  <c r="DT48" i="11" s="1"/>
  <c r="DT49" i="11" s="1"/>
  <c r="DT50" i="11" s="1"/>
  <c r="DT51" i="11" s="1"/>
  <c r="DT52" i="11" s="1"/>
  <c r="DU45" i="11"/>
  <c r="DU46" i="11" s="1"/>
  <c r="DU47" i="11" s="1"/>
  <c r="DU48" i="11" s="1"/>
  <c r="DU49" i="11" s="1"/>
  <c r="DU50" i="11" s="1"/>
  <c r="DU51" i="11" s="1"/>
  <c r="DU52" i="11" s="1"/>
  <c r="DV45" i="11"/>
  <c r="DV46" i="11" s="1"/>
  <c r="DV47" i="11" s="1"/>
  <c r="DV48" i="11" s="1"/>
  <c r="DV49" i="11" s="1"/>
  <c r="DV50" i="11" s="1"/>
  <c r="DV51" i="11" s="1"/>
  <c r="DV52" i="11" s="1"/>
  <c r="DW45" i="11"/>
  <c r="DX45" i="11"/>
  <c r="DY45" i="11"/>
  <c r="DZ45" i="11"/>
  <c r="EA45" i="11"/>
  <c r="EB45" i="11"/>
  <c r="EC45" i="11"/>
  <c r="EC46" i="11" s="1"/>
  <c r="EC47" i="11" s="1"/>
  <c r="EC48" i="11" s="1"/>
  <c r="EC49" i="11" s="1"/>
  <c r="EC50" i="11" s="1"/>
  <c r="EC51" i="11" s="1"/>
  <c r="EC52" i="11" s="1"/>
  <c r="ED45" i="11"/>
  <c r="ED46" i="11" s="1"/>
  <c r="ED47" i="11" s="1"/>
  <c r="ED48" i="11" s="1"/>
  <c r="ED49" i="11" s="1"/>
  <c r="ED50" i="11" s="1"/>
  <c r="ED51" i="11" s="1"/>
  <c r="ED52" i="11" s="1"/>
  <c r="EE45" i="11"/>
  <c r="EE46" i="11" s="1"/>
  <c r="EE47" i="11" s="1"/>
  <c r="EE48" i="11" s="1"/>
  <c r="EE49" i="11" s="1"/>
  <c r="EE50" i="11" s="1"/>
  <c r="EE51" i="11" s="1"/>
  <c r="EE52" i="11" s="1"/>
  <c r="EF45" i="11"/>
  <c r="EF46" i="11" s="1"/>
  <c r="EF47" i="11" s="1"/>
  <c r="EF48" i="11" s="1"/>
  <c r="EF49" i="11" s="1"/>
  <c r="EF50" i="11" s="1"/>
  <c r="EF51" i="11" s="1"/>
  <c r="EF52" i="11" s="1"/>
  <c r="EG45" i="11"/>
  <c r="EG46" i="11" s="1"/>
  <c r="EG47" i="11" s="1"/>
  <c r="EG48" i="11" s="1"/>
  <c r="EG49" i="11" s="1"/>
  <c r="EG50" i="11" s="1"/>
  <c r="EG51" i="11" s="1"/>
  <c r="EG52" i="11" s="1"/>
  <c r="EH45" i="11"/>
  <c r="EH46" i="11" s="1"/>
  <c r="EH47" i="11" s="1"/>
  <c r="EH48" i="11" s="1"/>
  <c r="EH49" i="11" s="1"/>
  <c r="EH50" i="11" s="1"/>
  <c r="EH51" i="11" s="1"/>
  <c r="EH52" i="11" s="1"/>
  <c r="EI45" i="11"/>
  <c r="DW46" i="11"/>
  <c r="DX46" i="11"/>
  <c r="DX47" i="11" s="1"/>
  <c r="DX48" i="11" s="1"/>
  <c r="DX49" i="11" s="1"/>
  <c r="DX50" i="11" s="1"/>
  <c r="DX51" i="11" s="1"/>
  <c r="DX52" i="11" s="1"/>
  <c r="DY46" i="11"/>
  <c r="DY47" i="11" s="1"/>
  <c r="DY48" i="11" s="1"/>
  <c r="DY49" i="11" s="1"/>
  <c r="DY50" i="11" s="1"/>
  <c r="DY51" i="11" s="1"/>
  <c r="DY52" i="11" s="1"/>
  <c r="DZ46" i="11"/>
  <c r="DZ47" i="11" s="1"/>
  <c r="DZ48" i="11" s="1"/>
  <c r="DZ49" i="11" s="1"/>
  <c r="DZ50" i="11" s="1"/>
  <c r="DZ51" i="11" s="1"/>
  <c r="DZ52" i="11" s="1"/>
  <c r="EA46" i="11"/>
  <c r="EA47" i="11" s="1"/>
  <c r="EA48" i="11" s="1"/>
  <c r="EA49" i="11" s="1"/>
  <c r="EA50" i="11" s="1"/>
  <c r="EA51" i="11" s="1"/>
  <c r="EA52" i="11" s="1"/>
  <c r="EB46" i="11"/>
  <c r="EB47" i="11" s="1"/>
  <c r="EB48" i="11" s="1"/>
  <c r="EB49" i="11" s="1"/>
  <c r="EB50" i="11" s="1"/>
  <c r="EB51" i="11" s="1"/>
  <c r="EB52" i="11" s="1"/>
  <c r="EI46" i="11"/>
  <c r="DW47" i="11"/>
  <c r="EI47" i="11"/>
  <c r="DW48" i="11"/>
  <c r="EI48" i="11"/>
  <c r="DW49" i="11"/>
  <c r="EI49" i="11"/>
  <c r="DW50" i="11"/>
  <c r="EI50" i="11"/>
  <c r="DW51" i="11"/>
  <c r="DW52" i="11" s="1"/>
  <c r="EI51" i="11"/>
  <c r="EI52" i="11" s="1"/>
  <c r="DR40" i="11"/>
  <c r="DS40" i="11"/>
  <c r="DS41" i="11" s="1"/>
  <c r="DS42" i="11" s="1"/>
  <c r="DS43" i="11" s="1"/>
  <c r="DT40" i="11"/>
  <c r="DT41" i="11" s="1"/>
  <c r="DT42" i="11" s="1"/>
  <c r="DT43" i="11" s="1"/>
  <c r="DU40" i="11"/>
  <c r="DU41" i="11" s="1"/>
  <c r="DU42" i="11" s="1"/>
  <c r="DU43" i="11" s="1"/>
  <c r="DV40" i="11"/>
  <c r="DV41" i="11" s="1"/>
  <c r="DV42" i="11" s="1"/>
  <c r="DV43" i="11" s="1"/>
  <c r="DW40" i="11"/>
  <c r="DX40" i="11"/>
  <c r="DY40" i="11"/>
  <c r="DZ40" i="11"/>
  <c r="EA40" i="11"/>
  <c r="EB40" i="11"/>
  <c r="EC40" i="11"/>
  <c r="EC41" i="11" s="1"/>
  <c r="EC42" i="11" s="1"/>
  <c r="EC43" i="11" s="1"/>
  <c r="ED40" i="11"/>
  <c r="EE40" i="11"/>
  <c r="EE41" i="11" s="1"/>
  <c r="EE42" i="11" s="1"/>
  <c r="EE43" i="11" s="1"/>
  <c r="EF40" i="11"/>
  <c r="EF41" i="11" s="1"/>
  <c r="EF42" i="11" s="1"/>
  <c r="EF43" i="11" s="1"/>
  <c r="EG40" i="11"/>
  <c r="EG41" i="11" s="1"/>
  <c r="EG42" i="11" s="1"/>
  <c r="EG43" i="11" s="1"/>
  <c r="EH40" i="11"/>
  <c r="EH41" i="11" s="1"/>
  <c r="EH42" i="11" s="1"/>
  <c r="EH43" i="11" s="1"/>
  <c r="EI40" i="11"/>
  <c r="DR41" i="11"/>
  <c r="DW41" i="11"/>
  <c r="DW42" i="11" s="1"/>
  <c r="DW43" i="11" s="1"/>
  <c r="DX41" i="11"/>
  <c r="DY41" i="11"/>
  <c r="DY42" i="11" s="1"/>
  <c r="DY43" i="11" s="1"/>
  <c r="DZ41" i="11"/>
  <c r="DZ42" i="11" s="1"/>
  <c r="DZ43" i="11" s="1"/>
  <c r="EA41" i="11"/>
  <c r="EA42" i="11" s="1"/>
  <c r="EA43" i="11" s="1"/>
  <c r="EB41" i="11"/>
  <c r="EB42" i="11" s="1"/>
  <c r="EB43" i="11" s="1"/>
  <c r="ED41" i="11"/>
  <c r="EI41" i="11"/>
  <c r="EI42" i="11" s="1"/>
  <c r="EI43" i="11" s="1"/>
  <c r="DR42" i="11"/>
  <c r="DX42" i="11"/>
  <c r="ED42" i="11"/>
  <c r="DR43" i="11"/>
  <c r="DX43" i="11"/>
  <c r="ED43" i="11"/>
  <c r="DR35" i="11"/>
  <c r="DR36" i="11" s="1"/>
  <c r="DR37" i="11" s="1"/>
  <c r="DR38" i="11" s="1"/>
  <c r="DS35" i="11"/>
  <c r="DS36" i="11" s="1"/>
  <c r="DS37" i="11" s="1"/>
  <c r="DS38" i="11" s="1"/>
  <c r="DT35" i="11"/>
  <c r="DT36" i="11" s="1"/>
  <c r="DT37" i="11" s="1"/>
  <c r="DT38" i="11" s="1"/>
  <c r="DU35" i="11"/>
  <c r="DU36" i="11" s="1"/>
  <c r="DU37" i="11" s="1"/>
  <c r="DU38" i="11" s="1"/>
  <c r="DV35" i="11"/>
  <c r="DV36" i="11" s="1"/>
  <c r="DV37" i="11" s="1"/>
  <c r="DV38" i="11" s="1"/>
  <c r="DW35" i="11"/>
  <c r="DX35" i="11"/>
  <c r="DY35" i="11"/>
  <c r="DZ35" i="11"/>
  <c r="EA35" i="11"/>
  <c r="EB35" i="11"/>
  <c r="EC35" i="11"/>
  <c r="ED35" i="11"/>
  <c r="ED36" i="11" s="1"/>
  <c r="ED37" i="11" s="1"/>
  <c r="ED38" i="11" s="1"/>
  <c r="EE35" i="11"/>
  <c r="EE36" i="11" s="1"/>
  <c r="EE37" i="11" s="1"/>
  <c r="EE38" i="11" s="1"/>
  <c r="EF35" i="11"/>
  <c r="EF36" i="11" s="1"/>
  <c r="EF37" i="11" s="1"/>
  <c r="EF38" i="11" s="1"/>
  <c r="EG35" i="11"/>
  <c r="EG36" i="11" s="1"/>
  <c r="EG37" i="11" s="1"/>
  <c r="EG38" i="11" s="1"/>
  <c r="EH35" i="11"/>
  <c r="EH36" i="11" s="1"/>
  <c r="EH37" i="11" s="1"/>
  <c r="EH38" i="11" s="1"/>
  <c r="EI35" i="11"/>
  <c r="DW36" i="11"/>
  <c r="DX36" i="11"/>
  <c r="DX37" i="11" s="1"/>
  <c r="DX38" i="11" s="1"/>
  <c r="DY36" i="11"/>
  <c r="DY37" i="11" s="1"/>
  <c r="DY38" i="11" s="1"/>
  <c r="DZ36" i="11"/>
  <c r="DZ37" i="11" s="1"/>
  <c r="DZ38" i="11" s="1"/>
  <c r="EA36" i="11"/>
  <c r="EA37" i="11" s="1"/>
  <c r="EA38" i="11" s="1"/>
  <c r="EB36" i="11"/>
  <c r="EB37" i="11" s="1"/>
  <c r="EB38" i="11" s="1"/>
  <c r="EC36" i="11"/>
  <c r="EI36" i="11"/>
  <c r="DW37" i="11"/>
  <c r="EC37" i="11"/>
  <c r="EI37" i="11"/>
  <c r="DW38" i="11"/>
  <c r="EC38" i="11"/>
  <c r="EI38" i="11"/>
  <c r="DR26" i="11"/>
  <c r="DS26" i="11"/>
  <c r="DS27" i="11" s="1"/>
  <c r="DS28" i="11" s="1"/>
  <c r="DS29" i="11" s="1"/>
  <c r="DS30" i="11" s="1"/>
  <c r="DS31" i="11" s="1"/>
  <c r="DS32" i="11" s="1"/>
  <c r="DS33" i="11" s="1"/>
  <c r="DT26" i="11"/>
  <c r="DT27" i="11" s="1"/>
  <c r="DT28" i="11" s="1"/>
  <c r="DT29" i="11" s="1"/>
  <c r="DT30" i="11" s="1"/>
  <c r="DT31" i="11" s="1"/>
  <c r="DT32" i="11" s="1"/>
  <c r="DT33" i="11" s="1"/>
  <c r="DU26" i="11"/>
  <c r="DU27" i="11" s="1"/>
  <c r="DU28" i="11" s="1"/>
  <c r="DU29" i="11" s="1"/>
  <c r="DU30" i="11" s="1"/>
  <c r="DU31" i="11" s="1"/>
  <c r="DU32" i="11" s="1"/>
  <c r="DU33" i="11" s="1"/>
  <c r="DV26" i="11"/>
  <c r="DW26" i="11"/>
  <c r="DX26" i="11"/>
  <c r="DY26" i="11"/>
  <c r="DZ26" i="11"/>
  <c r="EA26" i="11"/>
  <c r="EB26" i="11"/>
  <c r="EB27" i="11" s="1"/>
  <c r="EB28" i="11" s="1"/>
  <c r="EB29" i="11" s="1"/>
  <c r="EB30" i="11" s="1"/>
  <c r="EB31" i="11" s="1"/>
  <c r="EB32" i="11" s="1"/>
  <c r="EB33" i="11" s="1"/>
  <c r="EC26" i="11"/>
  <c r="EC27" i="11" s="1"/>
  <c r="EC28" i="11" s="1"/>
  <c r="EC29" i="11" s="1"/>
  <c r="EC30" i="11" s="1"/>
  <c r="EC31" i="11" s="1"/>
  <c r="EC32" i="11" s="1"/>
  <c r="EC33" i="11" s="1"/>
  <c r="ED26" i="11"/>
  <c r="EE26" i="11"/>
  <c r="EE27" i="11" s="1"/>
  <c r="EE28" i="11" s="1"/>
  <c r="EE29" i="11" s="1"/>
  <c r="EE30" i="11" s="1"/>
  <c r="EE31" i="11" s="1"/>
  <c r="EE32" i="11" s="1"/>
  <c r="EE33" i="11" s="1"/>
  <c r="EF26" i="11"/>
  <c r="EF27" i="11" s="1"/>
  <c r="EF28" i="11" s="1"/>
  <c r="EF29" i="11" s="1"/>
  <c r="EF30" i="11" s="1"/>
  <c r="EF31" i="11" s="1"/>
  <c r="EF32" i="11" s="1"/>
  <c r="EF33" i="11" s="1"/>
  <c r="EG26" i="11"/>
  <c r="EG27" i="11" s="1"/>
  <c r="EG28" i="11" s="1"/>
  <c r="EG29" i="11" s="1"/>
  <c r="EG30" i="11" s="1"/>
  <c r="EG31" i="11" s="1"/>
  <c r="EG32" i="11" s="1"/>
  <c r="EG33" i="11" s="1"/>
  <c r="EH26" i="11"/>
  <c r="EI26" i="11"/>
  <c r="DR27" i="11"/>
  <c r="DV27" i="11"/>
  <c r="DV28" i="11" s="1"/>
  <c r="DV29" i="11" s="1"/>
  <c r="DV30" i="11" s="1"/>
  <c r="DV31" i="11" s="1"/>
  <c r="DV32" i="11" s="1"/>
  <c r="DV33" i="11" s="1"/>
  <c r="DW27" i="11"/>
  <c r="DW28" i="11" s="1"/>
  <c r="DW29" i="11" s="1"/>
  <c r="DW30" i="11" s="1"/>
  <c r="DW31" i="11" s="1"/>
  <c r="DW32" i="11" s="1"/>
  <c r="DW33" i="11" s="1"/>
  <c r="DX27" i="11"/>
  <c r="DY27" i="11"/>
  <c r="DY28" i="11" s="1"/>
  <c r="DY29" i="11" s="1"/>
  <c r="DY30" i="11" s="1"/>
  <c r="DY31" i="11" s="1"/>
  <c r="DY32" i="11" s="1"/>
  <c r="DY33" i="11" s="1"/>
  <c r="DZ27" i="11"/>
  <c r="DZ28" i="11" s="1"/>
  <c r="DZ29" i="11" s="1"/>
  <c r="DZ30" i="11" s="1"/>
  <c r="DZ31" i="11" s="1"/>
  <c r="DZ32" i="11" s="1"/>
  <c r="DZ33" i="11" s="1"/>
  <c r="EA27" i="11"/>
  <c r="EA28" i="11" s="1"/>
  <c r="EA29" i="11" s="1"/>
  <c r="EA30" i="11" s="1"/>
  <c r="EA31" i="11" s="1"/>
  <c r="EA32" i="11" s="1"/>
  <c r="EA33" i="11" s="1"/>
  <c r="ED27" i="11"/>
  <c r="EH27" i="11"/>
  <c r="EH28" i="11" s="1"/>
  <c r="EH29" i="11" s="1"/>
  <c r="EH30" i="11" s="1"/>
  <c r="EH31" i="11" s="1"/>
  <c r="EH32" i="11" s="1"/>
  <c r="EH33" i="11" s="1"/>
  <c r="EI27" i="11"/>
  <c r="EI28" i="11" s="1"/>
  <c r="EI29" i="11" s="1"/>
  <c r="EI30" i="11" s="1"/>
  <c r="EI31" i="11" s="1"/>
  <c r="EI32" i="11" s="1"/>
  <c r="EI33" i="11" s="1"/>
  <c r="DR28" i="11"/>
  <c r="DX28" i="11"/>
  <c r="ED28" i="11"/>
  <c r="DR29" i="11"/>
  <c r="DX29" i="11"/>
  <c r="ED29" i="11"/>
  <c r="DR30" i="11"/>
  <c r="DX30" i="11"/>
  <c r="ED30" i="11"/>
  <c r="DR31" i="11"/>
  <c r="DX31" i="11"/>
  <c r="ED31" i="11"/>
  <c r="DR32" i="11"/>
  <c r="DX32" i="11"/>
  <c r="ED32" i="11"/>
  <c r="DR33" i="11"/>
  <c r="DX33" i="11"/>
  <c r="ED33" i="11"/>
  <c r="DR21" i="11"/>
  <c r="DR22" i="11" s="1"/>
  <c r="DR23" i="11" s="1"/>
  <c r="DR24" i="11" s="1"/>
  <c r="DS21" i="11"/>
  <c r="DS22" i="11" s="1"/>
  <c r="DS23" i="11" s="1"/>
  <c r="DS24" i="11" s="1"/>
  <c r="DT21" i="11"/>
  <c r="DU21" i="11"/>
  <c r="DV21" i="11"/>
  <c r="DW21" i="11"/>
  <c r="DX21" i="11"/>
  <c r="DY21" i="11"/>
  <c r="DZ21" i="11"/>
  <c r="DZ22" i="11" s="1"/>
  <c r="DZ23" i="11" s="1"/>
  <c r="DZ24" i="11" s="1"/>
  <c r="EA21" i="11"/>
  <c r="EA22" i="11" s="1"/>
  <c r="EA23" i="11" s="1"/>
  <c r="EA24" i="11" s="1"/>
  <c r="EB21" i="11"/>
  <c r="EB22" i="11" s="1"/>
  <c r="EB23" i="11" s="1"/>
  <c r="EB24" i="11" s="1"/>
  <c r="EC21" i="11"/>
  <c r="EC22" i="11" s="1"/>
  <c r="EC23" i="11" s="1"/>
  <c r="EC24" i="11" s="1"/>
  <c r="ED21" i="11"/>
  <c r="ED22" i="11" s="1"/>
  <c r="ED23" i="11" s="1"/>
  <c r="ED24" i="11" s="1"/>
  <c r="EE21" i="11"/>
  <c r="EE22" i="11" s="1"/>
  <c r="EE23" i="11" s="1"/>
  <c r="EE24" i="11" s="1"/>
  <c r="EF21" i="11"/>
  <c r="EG21" i="11"/>
  <c r="EH21" i="11"/>
  <c r="EI21" i="11"/>
  <c r="DT22" i="11"/>
  <c r="DT23" i="11" s="1"/>
  <c r="DT24" i="11" s="1"/>
  <c r="DU22" i="11"/>
  <c r="DU23" i="11" s="1"/>
  <c r="DU24" i="11" s="1"/>
  <c r="DV22" i="11"/>
  <c r="DV23" i="11" s="1"/>
  <c r="DV24" i="11" s="1"/>
  <c r="DW22" i="11"/>
  <c r="DW23" i="11" s="1"/>
  <c r="DW24" i="11" s="1"/>
  <c r="DX22" i="11"/>
  <c r="DX23" i="11" s="1"/>
  <c r="DX24" i="11" s="1"/>
  <c r="DY22" i="11"/>
  <c r="DY23" i="11" s="1"/>
  <c r="DY24" i="11" s="1"/>
  <c r="EF22" i="11"/>
  <c r="EF23" i="11" s="1"/>
  <c r="EF24" i="11" s="1"/>
  <c r="EG22" i="11"/>
  <c r="EG23" i="11" s="1"/>
  <c r="EG24" i="11" s="1"/>
  <c r="EH22" i="11"/>
  <c r="EH23" i="11" s="1"/>
  <c r="EH24" i="11" s="1"/>
  <c r="EI22" i="11"/>
  <c r="EI23" i="11" s="1"/>
  <c r="EI24" i="11" s="1"/>
  <c r="DR18" i="11"/>
  <c r="DR17" i="11" s="1"/>
  <c r="DR16" i="11" s="1"/>
  <c r="DR15" i="11" s="1"/>
  <c r="DR14" i="11" s="1"/>
  <c r="DR13" i="11" s="1"/>
  <c r="DR12" i="11" s="1"/>
  <c r="DS18" i="11"/>
  <c r="DS17" i="11" s="1"/>
  <c r="DS16" i="11" s="1"/>
  <c r="DS15" i="11" s="1"/>
  <c r="DS14" i="11" s="1"/>
  <c r="DS13" i="11" s="1"/>
  <c r="DS12" i="11" s="1"/>
  <c r="DZ18" i="11"/>
  <c r="DZ17" i="11" s="1"/>
  <c r="DZ16" i="11" s="1"/>
  <c r="DZ15" i="11" s="1"/>
  <c r="DZ14" i="11" s="1"/>
  <c r="DZ13" i="11" s="1"/>
  <c r="DZ12" i="11" s="1"/>
  <c r="EB18" i="11"/>
  <c r="EB17" i="11" s="1"/>
  <c r="EB16" i="11" s="1"/>
  <c r="EB15" i="11" s="1"/>
  <c r="EB14" i="11" s="1"/>
  <c r="EB13" i="11" s="1"/>
  <c r="EB12" i="11" s="1"/>
  <c r="EC18" i="11"/>
  <c r="EC17" i="11" s="1"/>
  <c r="EC16" i="11" s="1"/>
  <c r="EC15" i="11" s="1"/>
  <c r="EC14" i="11" s="1"/>
  <c r="EC13" i="11" s="1"/>
  <c r="EC12" i="11" s="1"/>
  <c r="ED18" i="11"/>
  <c r="ED17" i="11" s="1"/>
  <c r="ED16" i="11" s="1"/>
  <c r="ED15" i="11" s="1"/>
  <c r="ED14" i="11" s="1"/>
  <c r="ED13" i="11" s="1"/>
  <c r="ED12" i="11" s="1"/>
  <c r="EE18" i="11"/>
  <c r="EE17" i="11" s="1"/>
  <c r="EE16" i="11" s="1"/>
  <c r="EE15" i="11" s="1"/>
  <c r="EE14" i="11" s="1"/>
  <c r="EE13" i="11" s="1"/>
  <c r="EE12" i="11" s="1"/>
  <c r="DR19" i="11"/>
  <c r="DS19" i="11"/>
  <c r="DT19" i="11"/>
  <c r="DT18" i="11" s="1"/>
  <c r="DT17" i="11" s="1"/>
  <c r="DT16" i="11" s="1"/>
  <c r="DT15" i="11" s="1"/>
  <c r="DT14" i="11" s="1"/>
  <c r="DT13" i="11" s="1"/>
  <c r="DT12" i="11" s="1"/>
  <c r="DU19" i="11"/>
  <c r="DU18" i="11" s="1"/>
  <c r="DU17" i="11" s="1"/>
  <c r="DU16" i="11" s="1"/>
  <c r="DU15" i="11" s="1"/>
  <c r="DU14" i="11" s="1"/>
  <c r="DU13" i="11" s="1"/>
  <c r="DU12" i="11" s="1"/>
  <c r="DV19" i="11"/>
  <c r="DV18" i="11" s="1"/>
  <c r="DV17" i="11" s="1"/>
  <c r="DV16" i="11" s="1"/>
  <c r="DV15" i="11" s="1"/>
  <c r="DV14" i="11" s="1"/>
  <c r="DV13" i="11" s="1"/>
  <c r="DV12" i="11" s="1"/>
  <c r="DW19" i="11"/>
  <c r="DW18" i="11" s="1"/>
  <c r="DW17" i="11" s="1"/>
  <c r="DW16" i="11" s="1"/>
  <c r="DW15" i="11" s="1"/>
  <c r="DW14" i="11" s="1"/>
  <c r="DW13" i="11" s="1"/>
  <c r="DW12" i="11" s="1"/>
  <c r="DX19" i="11"/>
  <c r="DX18" i="11" s="1"/>
  <c r="DX17" i="11" s="1"/>
  <c r="DX16" i="11" s="1"/>
  <c r="DX15" i="11" s="1"/>
  <c r="DX14" i="11" s="1"/>
  <c r="DX13" i="11" s="1"/>
  <c r="DX12" i="11" s="1"/>
  <c r="DY19" i="11"/>
  <c r="DY18" i="11" s="1"/>
  <c r="DY17" i="11" s="1"/>
  <c r="DY16" i="11" s="1"/>
  <c r="DY15" i="11" s="1"/>
  <c r="DY14" i="11" s="1"/>
  <c r="DY13" i="11" s="1"/>
  <c r="DY12" i="11" s="1"/>
  <c r="DZ19" i="11"/>
  <c r="EA19" i="11"/>
  <c r="EA18" i="11" s="1"/>
  <c r="EA17" i="11" s="1"/>
  <c r="EA16" i="11" s="1"/>
  <c r="EA15" i="11" s="1"/>
  <c r="EA14" i="11" s="1"/>
  <c r="EA13" i="11" s="1"/>
  <c r="EA12" i="11" s="1"/>
  <c r="EB19" i="11"/>
  <c r="EC19" i="11"/>
  <c r="ED19" i="11"/>
  <c r="EE19" i="11"/>
  <c r="EF19" i="11"/>
  <c r="EF18" i="11" s="1"/>
  <c r="EF17" i="11" s="1"/>
  <c r="EF16" i="11" s="1"/>
  <c r="EF15" i="11" s="1"/>
  <c r="EF14" i="11" s="1"/>
  <c r="EF13" i="11" s="1"/>
  <c r="EF12" i="11" s="1"/>
  <c r="EG19" i="11"/>
  <c r="EG18" i="11" s="1"/>
  <c r="EG17" i="11" s="1"/>
  <c r="EG16" i="11" s="1"/>
  <c r="EG15" i="11" s="1"/>
  <c r="EG14" i="11" s="1"/>
  <c r="EG13" i="11" s="1"/>
  <c r="EG12" i="11" s="1"/>
  <c r="EH19" i="11"/>
  <c r="EH18" i="11" s="1"/>
  <c r="EH17" i="11" s="1"/>
  <c r="EH16" i="11" s="1"/>
  <c r="EH15" i="11" s="1"/>
  <c r="EH14" i="11" s="1"/>
  <c r="EH13" i="11" s="1"/>
  <c r="EH12" i="11" s="1"/>
  <c r="EI19" i="11"/>
  <c r="EI18" i="11" s="1"/>
  <c r="EI17" i="11" s="1"/>
  <c r="EI16" i="11" s="1"/>
  <c r="EI15" i="11" s="1"/>
  <c r="EI14" i="11" s="1"/>
  <c r="EI13" i="11" s="1"/>
  <c r="EI12" i="11" s="1"/>
  <c r="CP45" i="11"/>
  <c r="CQ45" i="11"/>
  <c r="CQ46" i="11" s="1"/>
  <c r="CQ47" i="11" s="1"/>
  <c r="CQ48" i="11" s="1"/>
  <c r="CQ49" i="11" s="1"/>
  <c r="CQ50" i="11" s="1"/>
  <c r="CQ51" i="11" s="1"/>
  <c r="CQ52" i="11" s="1"/>
  <c r="CR45" i="11"/>
  <c r="CR46" i="11" s="1"/>
  <c r="CR47" i="11" s="1"/>
  <c r="CR48" i="11" s="1"/>
  <c r="CR49" i="11" s="1"/>
  <c r="CR50" i="11" s="1"/>
  <c r="CR51" i="11" s="1"/>
  <c r="CR52" i="11" s="1"/>
  <c r="CS45" i="11"/>
  <c r="CS46" i="11" s="1"/>
  <c r="CS47" i="11" s="1"/>
  <c r="CS48" i="11" s="1"/>
  <c r="CS49" i="11" s="1"/>
  <c r="CS50" i="11" s="1"/>
  <c r="CS51" i="11" s="1"/>
  <c r="CS52" i="11" s="1"/>
  <c r="CT45" i="11"/>
  <c r="CT46" i="11" s="1"/>
  <c r="CT47" i="11" s="1"/>
  <c r="CT48" i="11" s="1"/>
  <c r="CT49" i="11" s="1"/>
  <c r="CT50" i="11" s="1"/>
  <c r="CT51" i="11" s="1"/>
  <c r="CT52" i="11" s="1"/>
  <c r="CU45" i="11"/>
  <c r="CV45" i="11"/>
  <c r="CW45" i="11"/>
  <c r="CW46" i="11" s="1"/>
  <c r="CW47" i="11" s="1"/>
  <c r="CW48" i="11" s="1"/>
  <c r="CW49" i="11" s="1"/>
  <c r="CW50" i="11" s="1"/>
  <c r="CW51" i="11" s="1"/>
  <c r="CW52" i="11" s="1"/>
  <c r="CX45" i="11"/>
  <c r="CX46" i="11" s="1"/>
  <c r="CX47" i="11" s="1"/>
  <c r="CX48" i="11" s="1"/>
  <c r="CX49" i="11" s="1"/>
  <c r="CX50" i="11" s="1"/>
  <c r="CX51" i="11" s="1"/>
  <c r="CX52" i="11" s="1"/>
  <c r="CY45" i="11"/>
  <c r="CY46" i="11" s="1"/>
  <c r="CY47" i="11" s="1"/>
  <c r="CY48" i="11" s="1"/>
  <c r="CY49" i="11" s="1"/>
  <c r="CY50" i="11" s="1"/>
  <c r="CY51" i="11" s="1"/>
  <c r="CY52" i="11" s="1"/>
  <c r="CZ45" i="11"/>
  <c r="CZ46" i="11" s="1"/>
  <c r="CZ47" i="11" s="1"/>
  <c r="CZ48" i="11" s="1"/>
  <c r="CZ49" i="11" s="1"/>
  <c r="CZ50" i="11" s="1"/>
  <c r="CZ51" i="11" s="1"/>
  <c r="CZ52" i="11" s="1"/>
  <c r="DA45" i="11"/>
  <c r="DB45" i="11"/>
  <c r="DC45" i="11"/>
  <c r="DC46" i="11" s="1"/>
  <c r="DC47" i="11" s="1"/>
  <c r="DC48" i="11" s="1"/>
  <c r="DC49" i="11" s="1"/>
  <c r="DC50" i="11" s="1"/>
  <c r="DC51" i="11" s="1"/>
  <c r="DC52" i="11" s="1"/>
  <c r="DD45" i="11"/>
  <c r="DD46" i="11" s="1"/>
  <c r="DD47" i="11" s="1"/>
  <c r="DD48" i="11" s="1"/>
  <c r="DD49" i="11" s="1"/>
  <c r="DD50" i="11" s="1"/>
  <c r="DD51" i="11" s="1"/>
  <c r="DD52" i="11" s="1"/>
  <c r="DE45" i="11"/>
  <c r="DE46" i="11" s="1"/>
  <c r="DE47" i="11" s="1"/>
  <c r="DE48" i="11" s="1"/>
  <c r="DE49" i="11" s="1"/>
  <c r="DE50" i="11" s="1"/>
  <c r="DE51" i="11" s="1"/>
  <c r="DE52" i="11" s="1"/>
  <c r="DF45" i="11"/>
  <c r="DF46" i="11" s="1"/>
  <c r="DF47" i="11" s="1"/>
  <c r="DF48" i="11" s="1"/>
  <c r="DF49" i="11" s="1"/>
  <c r="DF50" i="11" s="1"/>
  <c r="DF51" i="11" s="1"/>
  <c r="DF52" i="11" s="1"/>
  <c r="DG45" i="11"/>
  <c r="DH45" i="11"/>
  <c r="DI45" i="11"/>
  <c r="DI46" i="11" s="1"/>
  <c r="DI47" i="11" s="1"/>
  <c r="DI48" i="11" s="1"/>
  <c r="DI49" i="11" s="1"/>
  <c r="DI50" i="11" s="1"/>
  <c r="DI51" i="11" s="1"/>
  <c r="DI52" i="11" s="1"/>
  <c r="DJ45" i="11"/>
  <c r="DJ46" i="11" s="1"/>
  <c r="DJ47" i="11" s="1"/>
  <c r="DJ48" i="11" s="1"/>
  <c r="DJ49" i="11" s="1"/>
  <c r="DJ50" i="11" s="1"/>
  <c r="DJ51" i="11" s="1"/>
  <c r="DJ52" i="11" s="1"/>
  <c r="DK45" i="11"/>
  <c r="DK46" i="11" s="1"/>
  <c r="DK47" i="11" s="1"/>
  <c r="DK48" i="11" s="1"/>
  <c r="DK49" i="11" s="1"/>
  <c r="DK50" i="11" s="1"/>
  <c r="DK51" i="11" s="1"/>
  <c r="DK52" i="11" s="1"/>
  <c r="DL45" i="11"/>
  <c r="DL46" i="11" s="1"/>
  <c r="DL47" i="11" s="1"/>
  <c r="DL48" i="11" s="1"/>
  <c r="DL49" i="11" s="1"/>
  <c r="DL50" i="11" s="1"/>
  <c r="DL51" i="11" s="1"/>
  <c r="DL52" i="11" s="1"/>
  <c r="DM45" i="11"/>
  <c r="DN45" i="11"/>
  <c r="DO45" i="11"/>
  <c r="DO46" i="11" s="1"/>
  <c r="DO47" i="11" s="1"/>
  <c r="DO48" i="11" s="1"/>
  <c r="DO49" i="11" s="1"/>
  <c r="DO50" i="11" s="1"/>
  <c r="DO51" i="11" s="1"/>
  <c r="DO52" i="11" s="1"/>
  <c r="DP45" i="11"/>
  <c r="DP46" i="11" s="1"/>
  <c r="DP47" i="11" s="1"/>
  <c r="DP48" i="11" s="1"/>
  <c r="DP49" i="11" s="1"/>
  <c r="DP50" i="11" s="1"/>
  <c r="DP51" i="11" s="1"/>
  <c r="DP52" i="11" s="1"/>
  <c r="DQ45" i="11"/>
  <c r="DQ46" i="11" s="1"/>
  <c r="DQ47" i="11" s="1"/>
  <c r="DQ48" i="11" s="1"/>
  <c r="DQ49" i="11" s="1"/>
  <c r="DQ50" i="11" s="1"/>
  <c r="DQ51" i="11" s="1"/>
  <c r="DQ52" i="11" s="1"/>
  <c r="CP46" i="11"/>
  <c r="CP47" i="11" s="1"/>
  <c r="CP48" i="11" s="1"/>
  <c r="CP49" i="11" s="1"/>
  <c r="CP50" i="11" s="1"/>
  <c r="CP51" i="11" s="1"/>
  <c r="CP52" i="11" s="1"/>
  <c r="CU46" i="11"/>
  <c r="CU47" i="11" s="1"/>
  <c r="CU48" i="11" s="1"/>
  <c r="CU49" i="11" s="1"/>
  <c r="CU50" i="11" s="1"/>
  <c r="CU51" i="11" s="1"/>
  <c r="CU52" i="11" s="1"/>
  <c r="CV46" i="11"/>
  <c r="CV47" i="11" s="1"/>
  <c r="CV48" i="11" s="1"/>
  <c r="CV49" i="11" s="1"/>
  <c r="CV50" i="11" s="1"/>
  <c r="CV51" i="11" s="1"/>
  <c r="CV52" i="11" s="1"/>
  <c r="DA46" i="11"/>
  <c r="DA47" i="11" s="1"/>
  <c r="DA48" i="11" s="1"/>
  <c r="DA49" i="11" s="1"/>
  <c r="DA50" i="11" s="1"/>
  <c r="DA51" i="11" s="1"/>
  <c r="DA52" i="11" s="1"/>
  <c r="DB46" i="11"/>
  <c r="DB47" i="11" s="1"/>
  <c r="DB48" i="11" s="1"/>
  <c r="DB49" i="11" s="1"/>
  <c r="DB50" i="11" s="1"/>
  <c r="DB51" i="11" s="1"/>
  <c r="DB52" i="11" s="1"/>
  <c r="DG46" i="11"/>
  <c r="DG47" i="11" s="1"/>
  <c r="DG48" i="11" s="1"/>
  <c r="DG49" i="11" s="1"/>
  <c r="DG50" i="11" s="1"/>
  <c r="DG51" i="11" s="1"/>
  <c r="DG52" i="11" s="1"/>
  <c r="DH46" i="11"/>
  <c r="DH47" i="11" s="1"/>
  <c r="DH48" i="11" s="1"/>
  <c r="DH49" i="11" s="1"/>
  <c r="DH50" i="11" s="1"/>
  <c r="DH51" i="11" s="1"/>
  <c r="DH52" i="11" s="1"/>
  <c r="DM46" i="11"/>
  <c r="DM47" i="11" s="1"/>
  <c r="DM48" i="11" s="1"/>
  <c r="DM49" i="11" s="1"/>
  <c r="DM50" i="11" s="1"/>
  <c r="DM51" i="11" s="1"/>
  <c r="DM52" i="11" s="1"/>
  <c r="DN46" i="11"/>
  <c r="DN47" i="11" s="1"/>
  <c r="DN48" i="11" s="1"/>
  <c r="DN49" i="11" s="1"/>
  <c r="DN50" i="11" s="1"/>
  <c r="DN51" i="11" s="1"/>
  <c r="DN52" i="11" s="1"/>
  <c r="CP40" i="11"/>
  <c r="CQ40" i="11"/>
  <c r="CQ41" i="11" s="1"/>
  <c r="CQ42" i="11" s="1"/>
  <c r="CQ43" i="11" s="1"/>
  <c r="CR40" i="11"/>
  <c r="CR41" i="11" s="1"/>
  <c r="CR42" i="11" s="1"/>
  <c r="CR43" i="11" s="1"/>
  <c r="CS40" i="11"/>
  <c r="CT40" i="11"/>
  <c r="CU40" i="11"/>
  <c r="CV40" i="11"/>
  <c r="CW40" i="11"/>
  <c r="CW41" i="11" s="1"/>
  <c r="CW42" i="11" s="1"/>
  <c r="CW43" i="11" s="1"/>
  <c r="CX40" i="11"/>
  <c r="CX41" i="11" s="1"/>
  <c r="CX42" i="11" s="1"/>
  <c r="CX43" i="11" s="1"/>
  <c r="CY40" i="11"/>
  <c r="CZ40" i="11"/>
  <c r="DA40" i="11"/>
  <c r="DA41" i="11" s="1"/>
  <c r="DA42" i="11" s="1"/>
  <c r="DA43" i="11" s="1"/>
  <c r="DB40" i="11"/>
  <c r="DC40" i="11"/>
  <c r="DC41" i="11" s="1"/>
  <c r="DC42" i="11" s="1"/>
  <c r="DC43" i="11" s="1"/>
  <c r="DD40" i="11"/>
  <c r="DD41" i="11" s="1"/>
  <c r="DD42" i="11" s="1"/>
  <c r="DD43" i="11" s="1"/>
  <c r="DE40" i="11"/>
  <c r="DF40" i="11"/>
  <c r="DG40" i="11"/>
  <c r="DH40" i="11"/>
  <c r="DI40" i="11"/>
  <c r="DI41" i="11" s="1"/>
  <c r="DI42" i="11" s="1"/>
  <c r="DI43" i="11" s="1"/>
  <c r="DJ40" i="11"/>
  <c r="DJ41" i="11" s="1"/>
  <c r="DJ42" i="11" s="1"/>
  <c r="DJ43" i="11" s="1"/>
  <c r="DK40" i="11"/>
  <c r="DL40" i="11"/>
  <c r="DM40" i="11"/>
  <c r="DN40" i="11"/>
  <c r="DO40" i="11"/>
  <c r="DO41" i="11" s="1"/>
  <c r="DO42" i="11" s="1"/>
  <c r="DO43" i="11" s="1"/>
  <c r="DP40" i="11"/>
  <c r="DP41" i="11" s="1"/>
  <c r="DP42" i="11" s="1"/>
  <c r="DP43" i="11" s="1"/>
  <c r="DQ40" i="11"/>
  <c r="CP41" i="11"/>
  <c r="CS41" i="11"/>
  <c r="CS42" i="11" s="1"/>
  <c r="CS43" i="11" s="1"/>
  <c r="CT41" i="11"/>
  <c r="CT42" i="11" s="1"/>
  <c r="CT43" i="11" s="1"/>
  <c r="CU41" i="11"/>
  <c r="CV41" i="11"/>
  <c r="CY41" i="11"/>
  <c r="CY42" i="11" s="1"/>
  <c r="CY43" i="11" s="1"/>
  <c r="CZ41" i="11"/>
  <c r="CZ42" i="11" s="1"/>
  <c r="CZ43" i="11" s="1"/>
  <c r="DB41" i="11"/>
  <c r="DE41" i="11"/>
  <c r="DE42" i="11" s="1"/>
  <c r="DE43" i="11" s="1"/>
  <c r="DF41" i="11"/>
  <c r="DF42" i="11" s="1"/>
  <c r="DF43" i="11" s="1"/>
  <c r="DG41" i="11"/>
  <c r="DH41" i="11"/>
  <c r="DK41" i="11"/>
  <c r="DK42" i="11" s="1"/>
  <c r="DK43" i="11" s="1"/>
  <c r="DL41" i="11"/>
  <c r="DL42" i="11" s="1"/>
  <c r="DL43" i="11" s="1"/>
  <c r="DM41" i="11"/>
  <c r="DN41" i="11"/>
  <c r="DQ41" i="11"/>
  <c r="DQ42" i="11" s="1"/>
  <c r="DQ43" i="11" s="1"/>
  <c r="CP42" i="11"/>
  <c r="CP43" i="11" s="1"/>
  <c r="CU42" i="11"/>
  <c r="CU43" i="11" s="1"/>
  <c r="CV42" i="11"/>
  <c r="CV43" i="11" s="1"/>
  <c r="DB42" i="11"/>
  <c r="DB43" i="11" s="1"/>
  <c r="DG42" i="11"/>
  <c r="DG43" i="11" s="1"/>
  <c r="DH42" i="11"/>
  <c r="DH43" i="11" s="1"/>
  <c r="DM42" i="11"/>
  <c r="DM43" i="11" s="1"/>
  <c r="DN42" i="11"/>
  <c r="DN43" i="11" s="1"/>
  <c r="CP35" i="11"/>
  <c r="CQ35" i="11"/>
  <c r="CQ36" i="11" s="1"/>
  <c r="CQ37" i="11" s="1"/>
  <c r="CQ38" i="11" s="1"/>
  <c r="CR35" i="11"/>
  <c r="CS35" i="11"/>
  <c r="CS36" i="11" s="1"/>
  <c r="CS37" i="11" s="1"/>
  <c r="CS38" i="11" s="1"/>
  <c r="CT35" i="11"/>
  <c r="CT36" i="11" s="1"/>
  <c r="CT37" i="11" s="1"/>
  <c r="CT38" i="11" s="1"/>
  <c r="CU35" i="11"/>
  <c r="CV35" i="11"/>
  <c r="CW35" i="11"/>
  <c r="CW36" i="11" s="1"/>
  <c r="CW37" i="11" s="1"/>
  <c r="CW38" i="11" s="1"/>
  <c r="CX35" i="11"/>
  <c r="CX36" i="11" s="1"/>
  <c r="CX37" i="11" s="1"/>
  <c r="CX38" i="11" s="1"/>
  <c r="CY35" i="11"/>
  <c r="CZ35" i="11"/>
  <c r="CZ36" i="11" s="1"/>
  <c r="CZ37" i="11" s="1"/>
  <c r="CZ38" i="11" s="1"/>
  <c r="DA35" i="11"/>
  <c r="DB35" i="11"/>
  <c r="DC35" i="11"/>
  <c r="DC36" i="11" s="1"/>
  <c r="DC37" i="11" s="1"/>
  <c r="DC38" i="11" s="1"/>
  <c r="DD35" i="11"/>
  <c r="DE35" i="11"/>
  <c r="DE36" i="11" s="1"/>
  <c r="DE37" i="11" s="1"/>
  <c r="DE38" i="11" s="1"/>
  <c r="DF35" i="11"/>
  <c r="DF36" i="11" s="1"/>
  <c r="DF37" i="11" s="1"/>
  <c r="DF38" i="11" s="1"/>
  <c r="DG35" i="11"/>
  <c r="DH35" i="11"/>
  <c r="DI35" i="11"/>
  <c r="DI36" i="11" s="1"/>
  <c r="DI37" i="11" s="1"/>
  <c r="DI38" i="11" s="1"/>
  <c r="DJ35" i="11"/>
  <c r="DJ36" i="11" s="1"/>
  <c r="DJ37" i="11" s="1"/>
  <c r="DJ38" i="11" s="1"/>
  <c r="DK35" i="11"/>
  <c r="DL35" i="11"/>
  <c r="DL36" i="11" s="1"/>
  <c r="DL37" i="11" s="1"/>
  <c r="DL38" i="11" s="1"/>
  <c r="DM35" i="11"/>
  <c r="DN35" i="11"/>
  <c r="DO35" i="11"/>
  <c r="DO36" i="11" s="1"/>
  <c r="DO37" i="11" s="1"/>
  <c r="DO38" i="11" s="1"/>
  <c r="DP35" i="11"/>
  <c r="DQ35" i="11"/>
  <c r="DQ36" i="11" s="1"/>
  <c r="DQ37" i="11" s="1"/>
  <c r="DQ38" i="11" s="1"/>
  <c r="CP36" i="11"/>
  <c r="CP37" i="11" s="1"/>
  <c r="CP38" i="11" s="1"/>
  <c r="CR36" i="11"/>
  <c r="CU36" i="11"/>
  <c r="CV36" i="11"/>
  <c r="CV37" i="11" s="1"/>
  <c r="CV38" i="11" s="1"/>
  <c r="CY36" i="11"/>
  <c r="CY37" i="11" s="1"/>
  <c r="CY38" i="11" s="1"/>
  <c r="DA36" i="11"/>
  <c r="DA37" i="11" s="1"/>
  <c r="DA38" i="11" s="1"/>
  <c r="DB36" i="11"/>
  <c r="DB37" i="11" s="1"/>
  <c r="DB38" i="11" s="1"/>
  <c r="DD36" i="11"/>
  <c r="DG36" i="11"/>
  <c r="DH36" i="11"/>
  <c r="DH37" i="11" s="1"/>
  <c r="DH38" i="11" s="1"/>
  <c r="DK36" i="11"/>
  <c r="DK37" i="11" s="1"/>
  <c r="DK38" i="11" s="1"/>
  <c r="DM36" i="11"/>
  <c r="DM37" i="11" s="1"/>
  <c r="DM38" i="11" s="1"/>
  <c r="DN36" i="11"/>
  <c r="DN37" i="11" s="1"/>
  <c r="DN38" i="11" s="1"/>
  <c r="DP36" i="11"/>
  <c r="CR37" i="11"/>
  <c r="CR38" i="11" s="1"/>
  <c r="CU37" i="11"/>
  <c r="CU38" i="11" s="1"/>
  <c r="DD37" i="11"/>
  <c r="DD38" i="11" s="1"/>
  <c r="DG37" i="11"/>
  <c r="DG38" i="11" s="1"/>
  <c r="DP37" i="11"/>
  <c r="DP38" i="11" s="1"/>
  <c r="CN26" i="11"/>
  <c r="CN27" i="11" s="1"/>
  <c r="CN28" i="11" s="1"/>
  <c r="CN29" i="11" s="1"/>
  <c r="CN30" i="11" s="1"/>
  <c r="CN31" i="11" s="1"/>
  <c r="CN32" i="11" s="1"/>
  <c r="CN33" i="11" s="1"/>
  <c r="CO26" i="11"/>
  <c r="CO27" i="11" s="1"/>
  <c r="CO28" i="11" s="1"/>
  <c r="CO29" i="11" s="1"/>
  <c r="CO30" i="11" s="1"/>
  <c r="CO31" i="11" s="1"/>
  <c r="CO32" i="11" s="1"/>
  <c r="CO33" i="11" s="1"/>
  <c r="CP26" i="11"/>
  <c r="CP27" i="11" s="1"/>
  <c r="CP28" i="11" s="1"/>
  <c r="CP29" i="11" s="1"/>
  <c r="CP30" i="11" s="1"/>
  <c r="CP31" i="11" s="1"/>
  <c r="CP32" i="11" s="1"/>
  <c r="CP33" i="11" s="1"/>
  <c r="CQ26" i="11"/>
  <c r="CQ27" i="11" s="1"/>
  <c r="CQ28" i="11" s="1"/>
  <c r="CQ29" i="11" s="1"/>
  <c r="CQ30" i="11" s="1"/>
  <c r="CQ31" i="11" s="1"/>
  <c r="CQ32" i="11" s="1"/>
  <c r="CQ33" i="11" s="1"/>
  <c r="CR26" i="11"/>
  <c r="CR27" i="11" s="1"/>
  <c r="CR28" i="11" s="1"/>
  <c r="CR29" i="11" s="1"/>
  <c r="CR30" i="11" s="1"/>
  <c r="CR31" i="11" s="1"/>
  <c r="CR32" i="11" s="1"/>
  <c r="CR33" i="11" s="1"/>
  <c r="CS26" i="11"/>
  <c r="CT26" i="11"/>
  <c r="CU26" i="11"/>
  <c r="CV26" i="11"/>
  <c r="CW26" i="11"/>
  <c r="CX26" i="11"/>
  <c r="CY26" i="11"/>
  <c r="CZ26" i="11"/>
  <c r="CZ27" i="11" s="1"/>
  <c r="CZ28" i="11" s="1"/>
  <c r="CZ29" i="11" s="1"/>
  <c r="CZ30" i="11" s="1"/>
  <c r="CZ31" i="11" s="1"/>
  <c r="CZ32" i="11" s="1"/>
  <c r="CZ33" i="11" s="1"/>
  <c r="DA26" i="11"/>
  <c r="DA27" i="11" s="1"/>
  <c r="DA28" i="11" s="1"/>
  <c r="DA29" i="11" s="1"/>
  <c r="DA30" i="11" s="1"/>
  <c r="DA31" i="11" s="1"/>
  <c r="DA32" i="11" s="1"/>
  <c r="DA33" i="11" s="1"/>
  <c r="DB26" i="11"/>
  <c r="DB27" i="11" s="1"/>
  <c r="DB28" i="11" s="1"/>
  <c r="DB29" i="11" s="1"/>
  <c r="DB30" i="11" s="1"/>
  <c r="DB31" i="11" s="1"/>
  <c r="DB32" i="11" s="1"/>
  <c r="DB33" i="11" s="1"/>
  <c r="DC26" i="11"/>
  <c r="DC27" i="11" s="1"/>
  <c r="DC28" i="11" s="1"/>
  <c r="DC29" i="11" s="1"/>
  <c r="DC30" i="11" s="1"/>
  <c r="DC31" i="11" s="1"/>
  <c r="DC32" i="11" s="1"/>
  <c r="DC33" i="11" s="1"/>
  <c r="DD26" i="11"/>
  <c r="DD27" i="11" s="1"/>
  <c r="DD28" i="11" s="1"/>
  <c r="DD29" i="11" s="1"/>
  <c r="DD30" i="11" s="1"/>
  <c r="DD31" i="11" s="1"/>
  <c r="DD32" i="11" s="1"/>
  <c r="DD33" i="11" s="1"/>
  <c r="DE26" i="11"/>
  <c r="DF26" i="11"/>
  <c r="DG26" i="11"/>
  <c r="DH26" i="11"/>
  <c r="DI26" i="11"/>
  <c r="DJ26" i="11"/>
  <c r="DK26" i="11"/>
  <c r="DL26" i="11"/>
  <c r="DL27" i="11" s="1"/>
  <c r="DL28" i="11" s="1"/>
  <c r="DL29" i="11" s="1"/>
  <c r="DL30" i="11" s="1"/>
  <c r="DL31" i="11" s="1"/>
  <c r="DL32" i="11" s="1"/>
  <c r="DL33" i="11" s="1"/>
  <c r="DM26" i="11"/>
  <c r="DM27" i="11" s="1"/>
  <c r="DM28" i="11" s="1"/>
  <c r="DM29" i="11" s="1"/>
  <c r="DM30" i="11" s="1"/>
  <c r="DM31" i="11" s="1"/>
  <c r="DM32" i="11" s="1"/>
  <c r="DM33" i="11" s="1"/>
  <c r="DN26" i="11"/>
  <c r="DN27" i="11" s="1"/>
  <c r="DN28" i="11" s="1"/>
  <c r="DN29" i="11" s="1"/>
  <c r="DN30" i="11" s="1"/>
  <c r="DN31" i="11" s="1"/>
  <c r="DN32" i="11" s="1"/>
  <c r="DN33" i="11" s="1"/>
  <c r="DO26" i="11"/>
  <c r="DO27" i="11" s="1"/>
  <c r="DO28" i="11" s="1"/>
  <c r="DO29" i="11" s="1"/>
  <c r="DO30" i="11" s="1"/>
  <c r="DO31" i="11" s="1"/>
  <c r="DO32" i="11" s="1"/>
  <c r="DO33" i="11" s="1"/>
  <c r="DP26" i="11"/>
  <c r="DP27" i="11" s="1"/>
  <c r="DP28" i="11" s="1"/>
  <c r="DP29" i="11" s="1"/>
  <c r="DP30" i="11" s="1"/>
  <c r="DP31" i="11" s="1"/>
  <c r="DP32" i="11" s="1"/>
  <c r="DP33" i="11" s="1"/>
  <c r="DQ26" i="11"/>
  <c r="CS27" i="11"/>
  <c r="CT27" i="11"/>
  <c r="CT28" i="11" s="1"/>
  <c r="CT29" i="11" s="1"/>
  <c r="CT30" i="11" s="1"/>
  <c r="CT31" i="11" s="1"/>
  <c r="CT32" i="11" s="1"/>
  <c r="CT33" i="11" s="1"/>
  <c r="CU27" i="11"/>
  <c r="CU28" i="11" s="1"/>
  <c r="CU29" i="11" s="1"/>
  <c r="CU30" i="11" s="1"/>
  <c r="CU31" i="11" s="1"/>
  <c r="CU32" i="11" s="1"/>
  <c r="CU33" i="11" s="1"/>
  <c r="CV27" i="11"/>
  <c r="CV28" i="11" s="1"/>
  <c r="CV29" i="11" s="1"/>
  <c r="CV30" i="11" s="1"/>
  <c r="CV31" i="11" s="1"/>
  <c r="CV32" i="11" s="1"/>
  <c r="CV33" i="11" s="1"/>
  <c r="CW27" i="11"/>
  <c r="CW28" i="11" s="1"/>
  <c r="CW29" i="11" s="1"/>
  <c r="CW30" i="11" s="1"/>
  <c r="CW31" i="11" s="1"/>
  <c r="CW32" i="11" s="1"/>
  <c r="CW33" i="11" s="1"/>
  <c r="CX27" i="11"/>
  <c r="CX28" i="11" s="1"/>
  <c r="CX29" i="11" s="1"/>
  <c r="CX30" i="11" s="1"/>
  <c r="CX31" i="11" s="1"/>
  <c r="CX32" i="11" s="1"/>
  <c r="CX33" i="11" s="1"/>
  <c r="CY27" i="11"/>
  <c r="DE27" i="11"/>
  <c r="DF27" i="11"/>
  <c r="DF28" i="11" s="1"/>
  <c r="DF29" i="11" s="1"/>
  <c r="DF30" i="11" s="1"/>
  <c r="DF31" i="11" s="1"/>
  <c r="DF32" i="11" s="1"/>
  <c r="DF33" i="11" s="1"/>
  <c r="DG27" i="11"/>
  <c r="DG28" i="11" s="1"/>
  <c r="DG29" i="11" s="1"/>
  <c r="DG30" i="11" s="1"/>
  <c r="DG31" i="11" s="1"/>
  <c r="DG32" i="11" s="1"/>
  <c r="DG33" i="11" s="1"/>
  <c r="DH27" i="11"/>
  <c r="DH28" i="11" s="1"/>
  <c r="DH29" i="11" s="1"/>
  <c r="DH30" i="11" s="1"/>
  <c r="DH31" i="11" s="1"/>
  <c r="DH32" i="11" s="1"/>
  <c r="DH33" i="11" s="1"/>
  <c r="DI27" i="11"/>
  <c r="DI28" i="11" s="1"/>
  <c r="DI29" i="11" s="1"/>
  <c r="DI30" i="11" s="1"/>
  <c r="DI31" i="11" s="1"/>
  <c r="DI32" i="11" s="1"/>
  <c r="DI33" i="11" s="1"/>
  <c r="DJ27" i="11"/>
  <c r="DJ28" i="11" s="1"/>
  <c r="DJ29" i="11" s="1"/>
  <c r="DJ30" i="11" s="1"/>
  <c r="DJ31" i="11" s="1"/>
  <c r="DJ32" i="11" s="1"/>
  <c r="DJ33" i="11" s="1"/>
  <c r="DK27" i="11"/>
  <c r="DQ27" i="11"/>
  <c r="CS28" i="11"/>
  <c r="CY28" i="11"/>
  <c r="DE28" i="11"/>
  <c r="DK28" i="11"/>
  <c r="DQ28" i="11"/>
  <c r="CS29" i="11"/>
  <c r="CY29" i="11"/>
  <c r="DE29" i="11"/>
  <c r="DK29" i="11"/>
  <c r="DQ29" i="11"/>
  <c r="CS30" i="11"/>
  <c r="CY30" i="11"/>
  <c r="DE30" i="11"/>
  <c r="DK30" i="11"/>
  <c r="DQ30" i="11"/>
  <c r="CS31" i="11"/>
  <c r="CY31" i="11"/>
  <c r="DE31" i="11"/>
  <c r="DK31" i="11"/>
  <c r="DQ31" i="11"/>
  <c r="CS32" i="11"/>
  <c r="CY32" i="11"/>
  <c r="DE32" i="11"/>
  <c r="DK32" i="11"/>
  <c r="DQ32" i="11"/>
  <c r="CS33" i="11"/>
  <c r="CY33" i="11"/>
  <c r="DE33" i="11"/>
  <c r="DK33" i="11"/>
  <c r="DQ33" i="11"/>
  <c r="CN21" i="11"/>
  <c r="CN22" i="11" s="1"/>
  <c r="CN23" i="11" s="1"/>
  <c r="CN24" i="11" s="1"/>
  <c r="CO21" i="11"/>
  <c r="CO22" i="11" s="1"/>
  <c r="CO23" i="11" s="1"/>
  <c r="CO24" i="11" s="1"/>
  <c r="CP21" i="11"/>
  <c r="CP22" i="11" s="1"/>
  <c r="CP23" i="11" s="1"/>
  <c r="CP24" i="11" s="1"/>
  <c r="CQ21" i="11"/>
  <c r="CQ22" i="11" s="1"/>
  <c r="CQ23" i="11" s="1"/>
  <c r="CQ24" i="11" s="1"/>
  <c r="CR21" i="11"/>
  <c r="CR22" i="11" s="1"/>
  <c r="CR23" i="11" s="1"/>
  <c r="CR24" i="11" s="1"/>
  <c r="CS21" i="11"/>
  <c r="CT21" i="11"/>
  <c r="CU21" i="11"/>
  <c r="CV21" i="11"/>
  <c r="CW21" i="11"/>
  <c r="CX21" i="11"/>
  <c r="CY21" i="11"/>
  <c r="CZ21" i="11"/>
  <c r="CZ22" i="11" s="1"/>
  <c r="CZ23" i="11" s="1"/>
  <c r="CZ24" i="11" s="1"/>
  <c r="DA21" i="11"/>
  <c r="DA22" i="11" s="1"/>
  <c r="DA23" i="11" s="1"/>
  <c r="DA24" i="11" s="1"/>
  <c r="DB21" i="11"/>
  <c r="DB22" i="11" s="1"/>
  <c r="DB23" i="11" s="1"/>
  <c r="DB24" i="11" s="1"/>
  <c r="DC21" i="11"/>
  <c r="DC22" i="11" s="1"/>
  <c r="DC23" i="11" s="1"/>
  <c r="DC24" i="11" s="1"/>
  <c r="DD21" i="11"/>
  <c r="DD22" i="11" s="1"/>
  <c r="DD23" i="11" s="1"/>
  <c r="DD24" i="11" s="1"/>
  <c r="DE21" i="11"/>
  <c r="DF21" i="11"/>
  <c r="DG21" i="11"/>
  <c r="DH21" i="11"/>
  <c r="DI21" i="11"/>
  <c r="DJ21" i="11"/>
  <c r="DK21" i="11"/>
  <c r="DL21" i="11"/>
  <c r="DL22" i="11" s="1"/>
  <c r="DL23" i="11" s="1"/>
  <c r="DL24" i="11" s="1"/>
  <c r="DM21" i="11"/>
  <c r="DM22" i="11" s="1"/>
  <c r="DM23" i="11" s="1"/>
  <c r="DM24" i="11" s="1"/>
  <c r="DN21" i="11"/>
  <c r="DN22" i="11" s="1"/>
  <c r="DN23" i="11" s="1"/>
  <c r="DN24" i="11" s="1"/>
  <c r="DO21" i="11"/>
  <c r="DO22" i="11" s="1"/>
  <c r="DO23" i="11" s="1"/>
  <c r="DO24" i="11" s="1"/>
  <c r="DP21" i="11"/>
  <c r="DP22" i="11" s="1"/>
  <c r="DP23" i="11" s="1"/>
  <c r="DP24" i="11" s="1"/>
  <c r="DQ21" i="11"/>
  <c r="CS22" i="11"/>
  <c r="CT22" i="11"/>
  <c r="CT23" i="11" s="1"/>
  <c r="CT24" i="11" s="1"/>
  <c r="CU22" i="11"/>
  <c r="CU23" i="11" s="1"/>
  <c r="CU24" i="11" s="1"/>
  <c r="CV22" i="11"/>
  <c r="CV23" i="11" s="1"/>
  <c r="CV24" i="11" s="1"/>
  <c r="CW22" i="11"/>
  <c r="CW23" i="11" s="1"/>
  <c r="CW24" i="11" s="1"/>
  <c r="CX22" i="11"/>
  <c r="CX23" i="11" s="1"/>
  <c r="CX24" i="11" s="1"/>
  <c r="CY22" i="11"/>
  <c r="DE22" i="11"/>
  <c r="DF22" i="11"/>
  <c r="DF23" i="11" s="1"/>
  <c r="DF24" i="11" s="1"/>
  <c r="DG22" i="11"/>
  <c r="DG23" i="11" s="1"/>
  <c r="DG24" i="11" s="1"/>
  <c r="DH22" i="11"/>
  <c r="DH23" i="11" s="1"/>
  <c r="DH24" i="11" s="1"/>
  <c r="DI22" i="11"/>
  <c r="DI23" i="11" s="1"/>
  <c r="DI24" i="11" s="1"/>
  <c r="DJ22" i="11"/>
  <c r="DJ23" i="11" s="1"/>
  <c r="DJ24" i="11" s="1"/>
  <c r="DK22" i="11"/>
  <c r="DQ22" i="11"/>
  <c r="CS23" i="11"/>
  <c r="CY23" i="11"/>
  <c r="DE23" i="11"/>
  <c r="DK23" i="11"/>
  <c r="DQ23" i="11"/>
  <c r="CS24" i="11"/>
  <c r="CY24" i="11"/>
  <c r="DE24" i="11"/>
  <c r="DK24" i="11"/>
  <c r="DQ24" i="11"/>
  <c r="CN18" i="11"/>
  <c r="CN17" i="11" s="1"/>
  <c r="CN16" i="11" s="1"/>
  <c r="CN15" i="11" s="1"/>
  <c r="CN14" i="11" s="1"/>
  <c r="CN13" i="11" s="1"/>
  <c r="CN12" i="11" s="1"/>
  <c r="CO18" i="11"/>
  <c r="CO17" i="11" s="1"/>
  <c r="CO16" i="11" s="1"/>
  <c r="CO15" i="11" s="1"/>
  <c r="CO14" i="11" s="1"/>
  <c r="CO13" i="11" s="1"/>
  <c r="CO12" i="11" s="1"/>
  <c r="CP18" i="11"/>
  <c r="CP17" i="11" s="1"/>
  <c r="CP16" i="11" s="1"/>
  <c r="CP15" i="11" s="1"/>
  <c r="CP14" i="11" s="1"/>
  <c r="CP13" i="11" s="1"/>
  <c r="CP12" i="11" s="1"/>
  <c r="CQ18" i="11"/>
  <c r="CQ17" i="11" s="1"/>
  <c r="CQ16" i="11" s="1"/>
  <c r="CQ15" i="11" s="1"/>
  <c r="CQ14" i="11" s="1"/>
  <c r="CQ13" i="11" s="1"/>
  <c r="CQ12" i="11" s="1"/>
  <c r="CX18" i="11"/>
  <c r="CX17" i="11" s="1"/>
  <c r="CX16" i="11" s="1"/>
  <c r="CX15" i="11" s="1"/>
  <c r="CX14" i="11" s="1"/>
  <c r="CX13" i="11" s="1"/>
  <c r="CX12" i="11" s="1"/>
  <c r="CZ18" i="11"/>
  <c r="CZ17" i="11" s="1"/>
  <c r="CZ16" i="11" s="1"/>
  <c r="CZ15" i="11" s="1"/>
  <c r="CZ14" i="11" s="1"/>
  <c r="CZ13" i="11" s="1"/>
  <c r="CZ12" i="11" s="1"/>
  <c r="DA18" i="11"/>
  <c r="DA17" i="11" s="1"/>
  <c r="DA16" i="11" s="1"/>
  <c r="DA15" i="11" s="1"/>
  <c r="DA14" i="11" s="1"/>
  <c r="DA13" i="11" s="1"/>
  <c r="DA12" i="11" s="1"/>
  <c r="DB18" i="11"/>
  <c r="DB17" i="11" s="1"/>
  <c r="DB16" i="11" s="1"/>
  <c r="DB15" i="11" s="1"/>
  <c r="DB14" i="11" s="1"/>
  <c r="DB13" i="11" s="1"/>
  <c r="DB12" i="11" s="1"/>
  <c r="DC18" i="11"/>
  <c r="DC17" i="11" s="1"/>
  <c r="DC16" i="11" s="1"/>
  <c r="DC15" i="11" s="1"/>
  <c r="DC14" i="11" s="1"/>
  <c r="DC13" i="11" s="1"/>
  <c r="DC12" i="11" s="1"/>
  <c r="DJ18" i="11"/>
  <c r="DJ17" i="11" s="1"/>
  <c r="DJ16" i="11" s="1"/>
  <c r="DJ15" i="11" s="1"/>
  <c r="DJ14" i="11" s="1"/>
  <c r="DJ13" i="11" s="1"/>
  <c r="DJ12" i="11" s="1"/>
  <c r="DL18" i="11"/>
  <c r="DL17" i="11" s="1"/>
  <c r="DL16" i="11" s="1"/>
  <c r="DL15" i="11" s="1"/>
  <c r="DL14" i="11" s="1"/>
  <c r="DL13" i="11" s="1"/>
  <c r="DL12" i="11" s="1"/>
  <c r="DM18" i="11"/>
  <c r="DM17" i="11" s="1"/>
  <c r="DM16" i="11" s="1"/>
  <c r="DM15" i="11" s="1"/>
  <c r="DM14" i="11" s="1"/>
  <c r="DM13" i="11" s="1"/>
  <c r="DM12" i="11" s="1"/>
  <c r="DN18" i="11"/>
  <c r="DN17" i="11" s="1"/>
  <c r="DN16" i="11" s="1"/>
  <c r="DN15" i="11" s="1"/>
  <c r="DN14" i="11" s="1"/>
  <c r="DN13" i="11" s="1"/>
  <c r="DN12" i="11" s="1"/>
  <c r="DO18" i="11"/>
  <c r="DO17" i="11" s="1"/>
  <c r="DO16" i="11" s="1"/>
  <c r="DO15" i="11" s="1"/>
  <c r="DO14" i="11" s="1"/>
  <c r="DO13" i="11" s="1"/>
  <c r="DO12" i="11" s="1"/>
  <c r="CN19" i="11"/>
  <c r="CO19" i="11"/>
  <c r="CP19" i="11"/>
  <c r="CQ19" i="11"/>
  <c r="CR19" i="11"/>
  <c r="CR18" i="11" s="1"/>
  <c r="CR17" i="11" s="1"/>
  <c r="CR16" i="11" s="1"/>
  <c r="CR15" i="11" s="1"/>
  <c r="CR14" i="11" s="1"/>
  <c r="CR13" i="11" s="1"/>
  <c r="CR12" i="11" s="1"/>
  <c r="CS19" i="11"/>
  <c r="CS18" i="11" s="1"/>
  <c r="CS17" i="11" s="1"/>
  <c r="CS16" i="11" s="1"/>
  <c r="CS15" i="11" s="1"/>
  <c r="CS14" i="11" s="1"/>
  <c r="CS13" i="11" s="1"/>
  <c r="CS12" i="11" s="1"/>
  <c r="CT19" i="11"/>
  <c r="CT18" i="11" s="1"/>
  <c r="CT17" i="11" s="1"/>
  <c r="CT16" i="11" s="1"/>
  <c r="CT15" i="11" s="1"/>
  <c r="CT14" i="11" s="1"/>
  <c r="CT13" i="11" s="1"/>
  <c r="CT12" i="11" s="1"/>
  <c r="CU19" i="11"/>
  <c r="CU18" i="11" s="1"/>
  <c r="CU17" i="11" s="1"/>
  <c r="CU16" i="11" s="1"/>
  <c r="CU15" i="11" s="1"/>
  <c r="CU14" i="11" s="1"/>
  <c r="CU13" i="11" s="1"/>
  <c r="CU12" i="11" s="1"/>
  <c r="CV19" i="11"/>
  <c r="CV18" i="11" s="1"/>
  <c r="CV17" i="11" s="1"/>
  <c r="CV16" i="11" s="1"/>
  <c r="CV15" i="11" s="1"/>
  <c r="CV14" i="11" s="1"/>
  <c r="CV13" i="11" s="1"/>
  <c r="CV12" i="11" s="1"/>
  <c r="CW19" i="11"/>
  <c r="CW18" i="11" s="1"/>
  <c r="CW17" i="11" s="1"/>
  <c r="CW16" i="11" s="1"/>
  <c r="CW15" i="11" s="1"/>
  <c r="CW14" i="11" s="1"/>
  <c r="CW13" i="11" s="1"/>
  <c r="CW12" i="11" s="1"/>
  <c r="CX19" i="11"/>
  <c r="CY19" i="11"/>
  <c r="CY18" i="11" s="1"/>
  <c r="CY17" i="11" s="1"/>
  <c r="CY16" i="11" s="1"/>
  <c r="CY15" i="11" s="1"/>
  <c r="CY14" i="11" s="1"/>
  <c r="CY13" i="11" s="1"/>
  <c r="CY12" i="11" s="1"/>
  <c r="CZ19" i="11"/>
  <c r="DA19" i="11"/>
  <c r="DB19" i="11"/>
  <c r="DC19" i="11"/>
  <c r="DD19" i="11"/>
  <c r="DD18" i="11" s="1"/>
  <c r="DD17" i="11" s="1"/>
  <c r="DD16" i="11" s="1"/>
  <c r="DD15" i="11" s="1"/>
  <c r="DD14" i="11" s="1"/>
  <c r="DD13" i="11" s="1"/>
  <c r="DD12" i="11" s="1"/>
  <c r="DE19" i="11"/>
  <c r="DE18" i="11" s="1"/>
  <c r="DE17" i="11" s="1"/>
  <c r="DE16" i="11" s="1"/>
  <c r="DE15" i="11" s="1"/>
  <c r="DE14" i="11" s="1"/>
  <c r="DE13" i="11" s="1"/>
  <c r="DE12" i="11" s="1"/>
  <c r="DF19" i="11"/>
  <c r="DF18" i="11" s="1"/>
  <c r="DF17" i="11" s="1"/>
  <c r="DF16" i="11" s="1"/>
  <c r="DF15" i="11" s="1"/>
  <c r="DF14" i="11" s="1"/>
  <c r="DF13" i="11" s="1"/>
  <c r="DF12" i="11" s="1"/>
  <c r="DG19" i="11"/>
  <c r="DG18" i="11" s="1"/>
  <c r="DG17" i="11" s="1"/>
  <c r="DG16" i="11" s="1"/>
  <c r="DG15" i="11" s="1"/>
  <c r="DG14" i="11" s="1"/>
  <c r="DG13" i="11" s="1"/>
  <c r="DG12" i="11" s="1"/>
  <c r="DH19" i="11"/>
  <c r="DH18" i="11" s="1"/>
  <c r="DH17" i="11" s="1"/>
  <c r="DH16" i="11" s="1"/>
  <c r="DH15" i="11" s="1"/>
  <c r="DH14" i="11" s="1"/>
  <c r="DH13" i="11" s="1"/>
  <c r="DH12" i="11" s="1"/>
  <c r="DI19" i="11"/>
  <c r="DI18" i="11" s="1"/>
  <c r="DI17" i="11" s="1"/>
  <c r="DI16" i="11" s="1"/>
  <c r="DI15" i="11" s="1"/>
  <c r="DI14" i="11" s="1"/>
  <c r="DI13" i="11" s="1"/>
  <c r="DI12" i="11" s="1"/>
  <c r="DJ19" i="11"/>
  <c r="DK19" i="11"/>
  <c r="DK18" i="11" s="1"/>
  <c r="DK17" i="11" s="1"/>
  <c r="DK16" i="11" s="1"/>
  <c r="DK15" i="11" s="1"/>
  <c r="DK14" i="11" s="1"/>
  <c r="DK13" i="11" s="1"/>
  <c r="DK12" i="11" s="1"/>
  <c r="DL19" i="11"/>
  <c r="DM19" i="11"/>
  <c r="DN19" i="11"/>
  <c r="DO19" i="11"/>
  <c r="DP19" i="11"/>
  <c r="DP18" i="11" s="1"/>
  <c r="DP17" i="11" s="1"/>
  <c r="DP16" i="11" s="1"/>
  <c r="DP15" i="11" s="1"/>
  <c r="DP14" i="11" s="1"/>
  <c r="DP13" i="11" s="1"/>
  <c r="DP12" i="11" s="1"/>
  <c r="DQ19" i="11"/>
  <c r="DQ18" i="11" s="1"/>
  <c r="DQ17" i="11" s="1"/>
  <c r="DQ16" i="11" s="1"/>
  <c r="DQ15" i="11" s="1"/>
  <c r="DQ14" i="11" s="1"/>
  <c r="DQ13" i="11" s="1"/>
  <c r="DQ12" i="11" s="1"/>
  <c r="BX45" i="11"/>
  <c r="BY45" i="11"/>
  <c r="BY46" i="11" s="1"/>
  <c r="BY47" i="11" s="1"/>
  <c r="BY48" i="11" s="1"/>
  <c r="BY49" i="11" s="1"/>
  <c r="BY50" i="11" s="1"/>
  <c r="BY51" i="11" s="1"/>
  <c r="BY52" i="11" s="1"/>
  <c r="BZ45" i="11"/>
  <c r="BZ46" i="11" s="1"/>
  <c r="BZ47" i="11" s="1"/>
  <c r="BZ48" i="11" s="1"/>
  <c r="BZ49" i="11" s="1"/>
  <c r="BZ50" i="11" s="1"/>
  <c r="BZ51" i="11" s="1"/>
  <c r="BZ52" i="11" s="1"/>
  <c r="CA45" i="11"/>
  <c r="CA46" i="11" s="1"/>
  <c r="CA47" i="11" s="1"/>
  <c r="CA48" i="11" s="1"/>
  <c r="CA49" i="11" s="1"/>
  <c r="CA50" i="11" s="1"/>
  <c r="CA51" i="11" s="1"/>
  <c r="CA52" i="11" s="1"/>
  <c r="CB45" i="11"/>
  <c r="CB46" i="11" s="1"/>
  <c r="CB47" i="11" s="1"/>
  <c r="CB48" i="11" s="1"/>
  <c r="CB49" i="11" s="1"/>
  <c r="CB50" i="11" s="1"/>
  <c r="CB51" i="11" s="1"/>
  <c r="CB52" i="11" s="1"/>
  <c r="CC45" i="11"/>
  <c r="CD45" i="11"/>
  <c r="CD46" i="11" s="1"/>
  <c r="CD47" i="11" s="1"/>
  <c r="CD48" i="11" s="1"/>
  <c r="CD49" i="11" s="1"/>
  <c r="CD50" i="11" s="1"/>
  <c r="CD51" i="11" s="1"/>
  <c r="CD52" i="11" s="1"/>
  <c r="CE45" i="11"/>
  <c r="CF45" i="11"/>
  <c r="CG45" i="11"/>
  <c r="CH45" i="11"/>
  <c r="CI45" i="11"/>
  <c r="CI46" i="11" s="1"/>
  <c r="CI47" i="11" s="1"/>
  <c r="CI48" i="11" s="1"/>
  <c r="CI49" i="11" s="1"/>
  <c r="CI50" i="11" s="1"/>
  <c r="CI51" i="11" s="1"/>
  <c r="CI52" i="11" s="1"/>
  <c r="CJ45" i="11"/>
  <c r="CK45" i="11"/>
  <c r="CK46" i="11" s="1"/>
  <c r="CK47" i="11" s="1"/>
  <c r="CK48" i="11" s="1"/>
  <c r="CK49" i="11" s="1"/>
  <c r="CK50" i="11" s="1"/>
  <c r="CK51" i="11" s="1"/>
  <c r="CK52" i="11" s="1"/>
  <c r="CL45" i="11"/>
  <c r="CL46" i="11" s="1"/>
  <c r="CL47" i="11" s="1"/>
  <c r="CL48" i="11" s="1"/>
  <c r="CL49" i="11" s="1"/>
  <c r="CL50" i="11" s="1"/>
  <c r="CL51" i="11" s="1"/>
  <c r="CL52" i="11" s="1"/>
  <c r="CM45" i="11"/>
  <c r="CM46" i="11" s="1"/>
  <c r="CM47" i="11" s="1"/>
  <c r="CM48" i="11" s="1"/>
  <c r="CM49" i="11" s="1"/>
  <c r="CM50" i="11" s="1"/>
  <c r="CM51" i="11" s="1"/>
  <c r="CM52" i="11" s="1"/>
  <c r="CN45" i="11"/>
  <c r="CN46" i="11" s="1"/>
  <c r="CN47" i="11" s="1"/>
  <c r="CN48" i="11" s="1"/>
  <c r="CN49" i="11" s="1"/>
  <c r="CN50" i="11" s="1"/>
  <c r="CN51" i="11" s="1"/>
  <c r="CN52" i="11" s="1"/>
  <c r="CO45" i="11"/>
  <c r="BX46" i="11"/>
  <c r="BX47" i="11" s="1"/>
  <c r="BX48" i="11" s="1"/>
  <c r="BX49" i="11" s="1"/>
  <c r="BX50" i="11" s="1"/>
  <c r="BX51" i="11" s="1"/>
  <c r="BX52" i="11" s="1"/>
  <c r="CC46" i="11"/>
  <c r="CC47" i="11" s="1"/>
  <c r="CC48" i="11" s="1"/>
  <c r="CC49" i="11" s="1"/>
  <c r="CC50" i="11" s="1"/>
  <c r="CC51" i="11" s="1"/>
  <c r="CC52" i="11" s="1"/>
  <c r="CE46" i="11"/>
  <c r="CE47" i="11" s="1"/>
  <c r="CE48" i="11" s="1"/>
  <c r="CE49" i="11" s="1"/>
  <c r="CE50" i="11" s="1"/>
  <c r="CE51" i="11" s="1"/>
  <c r="CE52" i="11" s="1"/>
  <c r="CF46" i="11"/>
  <c r="CF47" i="11" s="1"/>
  <c r="CF48" i="11" s="1"/>
  <c r="CF49" i="11" s="1"/>
  <c r="CF50" i="11" s="1"/>
  <c r="CF51" i="11" s="1"/>
  <c r="CF52" i="11" s="1"/>
  <c r="CG46" i="11"/>
  <c r="CG47" i="11" s="1"/>
  <c r="CG48" i="11" s="1"/>
  <c r="CG49" i="11" s="1"/>
  <c r="CG50" i="11" s="1"/>
  <c r="CG51" i="11" s="1"/>
  <c r="CG52" i="11" s="1"/>
  <c r="CH46" i="11"/>
  <c r="CH47" i="11" s="1"/>
  <c r="CH48" i="11" s="1"/>
  <c r="CH49" i="11" s="1"/>
  <c r="CH50" i="11" s="1"/>
  <c r="CH51" i="11" s="1"/>
  <c r="CH52" i="11" s="1"/>
  <c r="CJ46" i="11"/>
  <c r="CJ47" i="11" s="1"/>
  <c r="CJ48" i="11" s="1"/>
  <c r="CJ49" i="11" s="1"/>
  <c r="CJ50" i="11" s="1"/>
  <c r="CJ51" i="11" s="1"/>
  <c r="CJ52" i="11" s="1"/>
  <c r="CO46" i="11"/>
  <c r="CO47" i="11" s="1"/>
  <c r="CO48" i="11" s="1"/>
  <c r="CO49" i="11" s="1"/>
  <c r="CO50" i="11" s="1"/>
  <c r="CO51" i="11" s="1"/>
  <c r="CO52" i="11" s="1"/>
  <c r="BX40" i="11"/>
  <c r="BX41" i="11" s="1"/>
  <c r="BX42" i="11" s="1"/>
  <c r="BX43" i="11" s="1"/>
  <c r="BY40" i="11"/>
  <c r="BZ40" i="11"/>
  <c r="BZ41" i="11" s="1"/>
  <c r="BZ42" i="11" s="1"/>
  <c r="BZ43" i="11" s="1"/>
  <c r="CA40" i="11"/>
  <c r="CA41" i="11" s="1"/>
  <c r="CA42" i="11" s="1"/>
  <c r="CA43" i="11" s="1"/>
  <c r="CB40" i="11"/>
  <c r="CB41" i="11" s="1"/>
  <c r="CB42" i="11" s="1"/>
  <c r="CB43" i="11" s="1"/>
  <c r="CC40" i="11"/>
  <c r="CD40" i="11"/>
  <c r="CE40" i="11"/>
  <c r="CF40" i="11"/>
  <c r="CG40" i="11"/>
  <c r="CH40" i="11"/>
  <c r="CI40" i="11"/>
  <c r="CI41" i="11" s="1"/>
  <c r="CI42" i="11" s="1"/>
  <c r="CI43" i="11" s="1"/>
  <c r="CJ40" i="11"/>
  <c r="CJ41" i="11" s="1"/>
  <c r="CJ42" i="11" s="1"/>
  <c r="CJ43" i="11" s="1"/>
  <c r="CK40" i="11"/>
  <c r="CL40" i="11"/>
  <c r="CL41" i="11" s="1"/>
  <c r="CL42" i="11" s="1"/>
  <c r="CL43" i="11" s="1"/>
  <c r="CM40" i="11"/>
  <c r="CM41" i="11" s="1"/>
  <c r="CM42" i="11" s="1"/>
  <c r="CM43" i="11" s="1"/>
  <c r="CN40" i="11"/>
  <c r="CN41" i="11" s="1"/>
  <c r="CN42" i="11" s="1"/>
  <c r="CN43" i="11" s="1"/>
  <c r="CO40" i="11"/>
  <c r="BY41" i="11"/>
  <c r="CC41" i="11"/>
  <c r="CC42" i="11" s="1"/>
  <c r="CC43" i="11" s="1"/>
  <c r="CD41" i="11"/>
  <c r="CD42" i="11" s="1"/>
  <c r="CD43" i="11" s="1"/>
  <c r="CE41" i="11"/>
  <c r="CF41" i="11"/>
  <c r="CF42" i="11" s="1"/>
  <c r="CF43" i="11" s="1"/>
  <c r="CG41" i="11"/>
  <c r="CG42" i="11" s="1"/>
  <c r="CG43" i="11" s="1"/>
  <c r="CH41" i="11"/>
  <c r="CH42" i="11" s="1"/>
  <c r="CH43" i="11" s="1"/>
  <c r="CK41" i="11"/>
  <c r="CO41" i="11"/>
  <c r="CO42" i="11" s="1"/>
  <c r="CO43" i="11" s="1"/>
  <c r="BY42" i="11"/>
  <c r="CE42" i="11"/>
  <c r="CK42" i="11"/>
  <c r="BY43" i="11"/>
  <c r="CE43" i="11"/>
  <c r="CK43" i="11"/>
  <c r="BX35" i="11"/>
  <c r="BX36" i="11" s="1"/>
  <c r="BX37" i="11" s="1"/>
  <c r="BX38" i="11" s="1"/>
  <c r="BY35" i="11"/>
  <c r="BY36" i="11" s="1"/>
  <c r="BY37" i="11" s="1"/>
  <c r="BY38" i="11" s="1"/>
  <c r="BZ35" i="11"/>
  <c r="CA35" i="11"/>
  <c r="CA36" i="11" s="1"/>
  <c r="CA37" i="11" s="1"/>
  <c r="CA38" i="11" s="1"/>
  <c r="CB35" i="11"/>
  <c r="CC35" i="11"/>
  <c r="CD35" i="11"/>
  <c r="CE35" i="11"/>
  <c r="CF35" i="11"/>
  <c r="CF36" i="11" s="1"/>
  <c r="CF37" i="11" s="1"/>
  <c r="CF38" i="11" s="1"/>
  <c r="CG35" i="11"/>
  <c r="CH35" i="11"/>
  <c r="CH36" i="11" s="1"/>
  <c r="CH37" i="11" s="1"/>
  <c r="CH38" i="11" s="1"/>
  <c r="CI35" i="11"/>
  <c r="CI36" i="11" s="1"/>
  <c r="CI37" i="11" s="1"/>
  <c r="CI38" i="11" s="1"/>
  <c r="CJ35" i="11"/>
  <c r="CJ36" i="11" s="1"/>
  <c r="CJ37" i="11" s="1"/>
  <c r="CJ38" i="11" s="1"/>
  <c r="CK35" i="11"/>
  <c r="CK36" i="11" s="1"/>
  <c r="CK37" i="11" s="1"/>
  <c r="CK38" i="11" s="1"/>
  <c r="CL35" i="11"/>
  <c r="CM35" i="11"/>
  <c r="CM36" i="11" s="1"/>
  <c r="CM37" i="11" s="1"/>
  <c r="CM38" i="11" s="1"/>
  <c r="CN35" i="11"/>
  <c r="CO35" i="11"/>
  <c r="BZ36" i="11"/>
  <c r="BZ37" i="11" s="1"/>
  <c r="BZ38" i="11" s="1"/>
  <c r="CB36" i="11"/>
  <c r="CB37" i="11" s="1"/>
  <c r="CB38" i="11" s="1"/>
  <c r="CC36" i="11"/>
  <c r="CC37" i="11" s="1"/>
  <c r="CC38" i="11" s="1"/>
  <c r="CD36" i="11"/>
  <c r="CD37" i="11" s="1"/>
  <c r="CD38" i="11" s="1"/>
  <c r="CE36" i="11"/>
  <c r="CE37" i="11" s="1"/>
  <c r="CE38" i="11" s="1"/>
  <c r="CG36" i="11"/>
  <c r="CG37" i="11" s="1"/>
  <c r="CG38" i="11" s="1"/>
  <c r="CL36" i="11"/>
  <c r="CL37" i="11" s="1"/>
  <c r="CL38" i="11" s="1"/>
  <c r="CN36" i="11"/>
  <c r="CN37" i="11" s="1"/>
  <c r="CN38" i="11" s="1"/>
  <c r="CO36" i="11"/>
  <c r="CO37" i="11" s="1"/>
  <c r="CO38" i="11" s="1"/>
  <c r="BX26" i="11"/>
  <c r="BY26" i="11"/>
  <c r="BY27" i="11" s="1"/>
  <c r="BY28" i="11" s="1"/>
  <c r="BY29" i="11" s="1"/>
  <c r="BY30" i="11" s="1"/>
  <c r="BY31" i="11" s="1"/>
  <c r="BY32" i="11" s="1"/>
  <c r="BY33" i="11" s="1"/>
  <c r="BZ26" i="11"/>
  <c r="BZ27" i="11" s="1"/>
  <c r="BZ28" i="11" s="1"/>
  <c r="BZ29" i="11" s="1"/>
  <c r="BZ30" i="11" s="1"/>
  <c r="BZ31" i="11" s="1"/>
  <c r="BZ32" i="11" s="1"/>
  <c r="BZ33" i="11" s="1"/>
  <c r="CA26" i="11"/>
  <c r="CA27" i="11" s="1"/>
  <c r="CA28" i="11" s="1"/>
  <c r="CA29" i="11" s="1"/>
  <c r="CA30" i="11" s="1"/>
  <c r="CA31" i="11" s="1"/>
  <c r="CA32" i="11" s="1"/>
  <c r="CA33" i="11" s="1"/>
  <c r="CB26" i="11"/>
  <c r="CB27" i="11" s="1"/>
  <c r="CB28" i="11" s="1"/>
  <c r="CB29" i="11" s="1"/>
  <c r="CB30" i="11" s="1"/>
  <c r="CB31" i="11" s="1"/>
  <c r="CB32" i="11" s="1"/>
  <c r="CB33" i="11" s="1"/>
  <c r="CC26" i="11"/>
  <c r="CD26" i="11"/>
  <c r="CE26" i="11"/>
  <c r="CF26" i="11"/>
  <c r="CF27" i="11" s="1"/>
  <c r="CF28" i="11" s="1"/>
  <c r="CF29" i="11" s="1"/>
  <c r="CF30" i="11" s="1"/>
  <c r="CF31" i="11" s="1"/>
  <c r="CF32" i="11" s="1"/>
  <c r="CF33" i="11" s="1"/>
  <c r="CG26" i="11"/>
  <c r="CG27" i="11" s="1"/>
  <c r="CG28" i="11" s="1"/>
  <c r="CG29" i="11" s="1"/>
  <c r="CG30" i="11" s="1"/>
  <c r="CG31" i="11" s="1"/>
  <c r="CG32" i="11" s="1"/>
  <c r="CG33" i="11" s="1"/>
  <c r="CH26" i="11"/>
  <c r="CH27" i="11" s="1"/>
  <c r="CH28" i="11" s="1"/>
  <c r="CH29" i="11" s="1"/>
  <c r="CH30" i="11" s="1"/>
  <c r="CH31" i="11" s="1"/>
  <c r="CH32" i="11" s="1"/>
  <c r="CH33" i="11" s="1"/>
  <c r="CI26" i="11"/>
  <c r="CJ26" i="11"/>
  <c r="CK26" i="11"/>
  <c r="CK27" i="11" s="1"/>
  <c r="CK28" i="11" s="1"/>
  <c r="CK29" i="11" s="1"/>
  <c r="CK30" i="11" s="1"/>
  <c r="CK31" i="11" s="1"/>
  <c r="CK32" i="11" s="1"/>
  <c r="CK33" i="11" s="1"/>
  <c r="CL26" i="11"/>
  <c r="CL27" i="11" s="1"/>
  <c r="CL28" i="11" s="1"/>
  <c r="CL29" i="11" s="1"/>
  <c r="CL30" i="11" s="1"/>
  <c r="CL31" i="11" s="1"/>
  <c r="CL32" i="11" s="1"/>
  <c r="CL33" i="11" s="1"/>
  <c r="CM26" i="11"/>
  <c r="CM27" i="11" s="1"/>
  <c r="CM28" i="11" s="1"/>
  <c r="CM29" i="11" s="1"/>
  <c r="CM30" i="11" s="1"/>
  <c r="CM31" i="11" s="1"/>
  <c r="CM32" i="11" s="1"/>
  <c r="CM33" i="11" s="1"/>
  <c r="BX27" i="11"/>
  <c r="BX28" i="11" s="1"/>
  <c r="BX29" i="11" s="1"/>
  <c r="BX30" i="11" s="1"/>
  <c r="BX31" i="11" s="1"/>
  <c r="BX32" i="11" s="1"/>
  <c r="BX33" i="11" s="1"/>
  <c r="CC27" i="11"/>
  <c r="CC28" i="11" s="1"/>
  <c r="CC29" i="11" s="1"/>
  <c r="CC30" i="11" s="1"/>
  <c r="CC31" i="11" s="1"/>
  <c r="CC32" i="11" s="1"/>
  <c r="CC33" i="11" s="1"/>
  <c r="CD27" i="11"/>
  <c r="CD28" i="11" s="1"/>
  <c r="CD29" i="11" s="1"/>
  <c r="CD30" i="11" s="1"/>
  <c r="CD31" i="11" s="1"/>
  <c r="CD32" i="11" s="1"/>
  <c r="CD33" i="11" s="1"/>
  <c r="CE27" i="11"/>
  <c r="CI27" i="11"/>
  <c r="CI28" i="11" s="1"/>
  <c r="CI29" i="11" s="1"/>
  <c r="CI30" i="11" s="1"/>
  <c r="CI31" i="11" s="1"/>
  <c r="CI32" i="11" s="1"/>
  <c r="CI33" i="11" s="1"/>
  <c r="CJ27" i="11"/>
  <c r="CJ28" i="11" s="1"/>
  <c r="CJ29" i="11" s="1"/>
  <c r="CJ30" i="11" s="1"/>
  <c r="CJ31" i="11" s="1"/>
  <c r="CJ32" i="11" s="1"/>
  <c r="CJ33" i="11" s="1"/>
  <c r="CE28" i="11"/>
  <c r="CE29" i="11" s="1"/>
  <c r="CE30" i="11" s="1"/>
  <c r="CE31" i="11" s="1"/>
  <c r="CE32" i="11" s="1"/>
  <c r="CE33" i="11" s="1"/>
  <c r="BX21" i="11"/>
  <c r="BX22" i="11" s="1"/>
  <c r="BX23" i="11" s="1"/>
  <c r="BX24" i="11" s="1"/>
  <c r="BY21" i="11"/>
  <c r="BY22" i="11" s="1"/>
  <c r="BY23" i="11" s="1"/>
  <c r="BY24" i="11" s="1"/>
  <c r="BZ21" i="11"/>
  <c r="BZ22" i="11" s="1"/>
  <c r="BZ23" i="11" s="1"/>
  <c r="BZ24" i="11" s="1"/>
  <c r="CA21" i="11"/>
  <c r="CB21" i="11"/>
  <c r="CC21" i="11"/>
  <c r="CD21" i="11"/>
  <c r="CE21" i="11"/>
  <c r="CE22" i="11" s="1"/>
  <c r="CE23" i="11" s="1"/>
  <c r="CE24" i="11" s="1"/>
  <c r="CF21" i="11"/>
  <c r="CF22" i="11" s="1"/>
  <c r="CF23" i="11" s="1"/>
  <c r="CF24" i="11" s="1"/>
  <c r="CG21" i="11"/>
  <c r="CH21" i="11"/>
  <c r="CI21" i="11"/>
  <c r="CI22" i="11" s="1"/>
  <c r="CI23" i="11" s="1"/>
  <c r="CI24" i="11" s="1"/>
  <c r="CJ21" i="11"/>
  <c r="CJ22" i="11" s="1"/>
  <c r="CJ23" i="11" s="1"/>
  <c r="CJ24" i="11" s="1"/>
  <c r="CK21" i="11"/>
  <c r="CK22" i="11" s="1"/>
  <c r="CK23" i="11" s="1"/>
  <c r="CK24" i="11" s="1"/>
  <c r="CL21" i="11"/>
  <c r="CL22" i="11" s="1"/>
  <c r="CL23" i="11" s="1"/>
  <c r="CL24" i="11" s="1"/>
  <c r="CM21" i="11"/>
  <c r="CA22" i="11"/>
  <c r="CA23" i="11" s="1"/>
  <c r="CA24" i="11" s="1"/>
  <c r="CB22" i="11"/>
  <c r="CB23" i="11" s="1"/>
  <c r="CB24" i="11" s="1"/>
  <c r="CC22" i="11"/>
  <c r="CD22" i="11"/>
  <c r="CG22" i="11"/>
  <c r="CG23" i="11" s="1"/>
  <c r="CG24" i="11" s="1"/>
  <c r="CH22" i="11"/>
  <c r="CH23" i="11" s="1"/>
  <c r="CH24" i="11" s="1"/>
  <c r="CM22" i="11"/>
  <c r="CM23" i="11" s="1"/>
  <c r="CM24" i="11" s="1"/>
  <c r="CC23" i="11"/>
  <c r="CC24" i="11" s="1"/>
  <c r="CD23" i="11"/>
  <c r="CD24" i="11" s="1"/>
  <c r="BZ17" i="11"/>
  <c r="BZ16" i="11" s="1"/>
  <c r="BZ15" i="11" s="1"/>
  <c r="BZ14" i="11" s="1"/>
  <c r="BZ13" i="11" s="1"/>
  <c r="BZ12" i="11" s="1"/>
  <c r="CL17" i="11"/>
  <c r="CL16" i="11" s="1"/>
  <c r="CL15" i="11" s="1"/>
  <c r="CL14" i="11" s="1"/>
  <c r="CL13" i="11" s="1"/>
  <c r="CL12" i="11" s="1"/>
  <c r="BZ18" i="11"/>
  <c r="CA18" i="11"/>
  <c r="CA17" i="11" s="1"/>
  <c r="CA16" i="11" s="1"/>
  <c r="CA15" i="11" s="1"/>
  <c r="CA14" i="11" s="1"/>
  <c r="CA13" i="11" s="1"/>
  <c r="CA12" i="11" s="1"/>
  <c r="CG18" i="11"/>
  <c r="CG17" i="11" s="1"/>
  <c r="CG16" i="11" s="1"/>
  <c r="CG15" i="11" s="1"/>
  <c r="CG14" i="11" s="1"/>
  <c r="CG13" i="11" s="1"/>
  <c r="CG12" i="11" s="1"/>
  <c r="CH18" i="11"/>
  <c r="CH17" i="11" s="1"/>
  <c r="CH16" i="11" s="1"/>
  <c r="CH15" i="11" s="1"/>
  <c r="CH14" i="11" s="1"/>
  <c r="CH13" i="11" s="1"/>
  <c r="CH12" i="11" s="1"/>
  <c r="CL18" i="11"/>
  <c r="CM18" i="11"/>
  <c r="CM17" i="11" s="1"/>
  <c r="CM16" i="11" s="1"/>
  <c r="CM15" i="11" s="1"/>
  <c r="CM14" i="11" s="1"/>
  <c r="CM13" i="11" s="1"/>
  <c r="CM12" i="11" s="1"/>
  <c r="BX19" i="11"/>
  <c r="BX18" i="11" s="1"/>
  <c r="BX17" i="11" s="1"/>
  <c r="BX16" i="11" s="1"/>
  <c r="BX15" i="11" s="1"/>
  <c r="BX14" i="11" s="1"/>
  <c r="BX13" i="11" s="1"/>
  <c r="BX12" i="11" s="1"/>
  <c r="BY19" i="11"/>
  <c r="BY18" i="11" s="1"/>
  <c r="BY17" i="11" s="1"/>
  <c r="BY16" i="11" s="1"/>
  <c r="BY15" i="11" s="1"/>
  <c r="BY14" i="11" s="1"/>
  <c r="BY13" i="11" s="1"/>
  <c r="BY12" i="11" s="1"/>
  <c r="BZ19" i="11"/>
  <c r="CA19" i="11"/>
  <c r="CB19" i="11"/>
  <c r="CB18" i="11" s="1"/>
  <c r="CB17" i="11" s="1"/>
  <c r="CB16" i="11" s="1"/>
  <c r="CB15" i="11" s="1"/>
  <c r="CB14" i="11" s="1"/>
  <c r="CB13" i="11" s="1"/>
  <c r="CB12" i="11" s="1"/>
  <c r="CC19" i="11"/>
  <c r="CC18" i="11" s="1"/>
  <c r="CC17" i="11" s="1"/>
  <c r="CC16" i="11" s="1"/>
  <c r="CC15" i="11" s="1"/>
  <c r="CC14" i="11" s="1"/>
  <c r="CC13" i="11" s="1"/>
  <c r="CC12" i="11" s="1"/>
  <c r="CD19" i="11"/>
  <c r="CD18" i="11" s="1"/>
  <c r="CD17" i="11" s="1"/>
  <c r="CD16" i="11" s="1"/>
  <c r="CD15" i="11" s="1"/>
  <c r="CD14" i="11" s="1"/>
  <c r="CD13" i="11" s="1"/>
  <c r="CD12" i="11" s="1"/>
  <c r="CE19" i="11"/>
  <c r="CE18" i="11" s="1"/>
  <c r="CE17" i="11" s="1"/>
  <c r="CE16" i="11" s="1"/>
  <c r="CE15" i="11" s="1"/>
  <c r="CE14" i="11" s="1"/>
  <c r="CE13" i="11" s="1"/>
  <c r="CE12" i="11" s="1"/>
  <c r="CF19" i="11"/>
  <c r="CF18" i="11" s="1"/>
  <c r="CF17" i="11" s="1"/>
  <c r="CF16" i="11" s="1"/>
  <c r="CF15" i="11" s="1"/>
  <c r="CF14" i="11" s="1"/>
  <c r="CF13" i="11" s="1"/>
  <c r="CF12" i="11" s="1"/>
  <c r="CG19" i="11"/>
  <c r="CH19" i="11"/>
  <c r="CI19" i="11"/>
  <c r="CI18" i="11" s="1"/>
  <c r="CI17" i="11" s="1"/>
  <c r="CI16" i="11" s="1"/>
  <c r="CI15" i="11" s="1"/>
  <c r="CI14" i="11" s="1"/>
  <c r="CI13" i="11" s="1"/>
  <c r="CI12" i="11" s="1"/>
  <c r="CJ19" i="11"/>
  <c r="CJ18" i="11" s="1"/>
  <c r="CJ17" i="11" s="1"/>
  <c r="CJ16" i="11" s="1"/>
  <c r="CJ15" i="11" s="1"/>
  <c r="CJ14" i="11" s="1"/>
  <c r="CJ13" i="11" s="1"/>
  <c r="CJ12" i="11" s="1"/>
  <c r="CK19" i="11"/>
  <c r="CK18" i="11" s="1"/>
  <c r="CK17" i="11" s="1"/>
  <c r="CK16" i="11" s="1"/>
  <c r="CK15" i="11" s="1"/>
  <c r="CK14" i="11" s="1"/>
  <c r="CK13" i="11" s="1"/>
  <c r="CK12" i="11" s="1"/>
  <c r="CL19" i="11"/>
  <c r="CM19" i="11"/>
  <c r="BW46" i="11"/>
  <c r="BW47" i="11" s="1"/>
  <c r="BW48" i="11" s="1"/>
  <c r="BW49" i="11" s="1"/>
  <c r="BW50" i="11" s="1"/>
  <c r="BW51" i="11" s="1"/>
  <c r="BW52" i="11" s="1"/>
  <c r="BW45" i="11"/>
  <c r="BW41" i="11"/>
  <c r="BW42" i="11" s="1"/>
  <c r="BW43" i="11" s="1"/>
  <c r="BW40" i="11"/>
  <c r="BW36" i="11"/>
  <c r="BW37" i="11" s="1"/>
  <c r="BW38" i="11" s="1"/>
  <c r="BW35" i="11"/>
  <c r="BW27" i="11"/>
  <c r="BW28" i="11" s="1"/>
  <c r="BW29" i="11" s="1"/>
  <c r="BW30" i="11" s="1"/>
  <c r="BW31" i="11" s="1"/>
  <c r="BW32" i="11" s="1"/>
  <c r="BW33" i="11" s="1"/>
  <c r="BW26" i="11"/>
  <c r="BW22" i="11"/>
  <c r="BW23" i="11" s="1"/>
  <c r="BW24" i="11" s="1"/>
  <c r="BW21" i="11"/>
  <c r="BW18" i="11"/>
  <c r="BW17" i="11"/>
  <c r="BW16" i="11" s="1"/>
  <c r="BW15" i="11" s="1"/>
  <c r="BW14" i="11" s="1"/>
  <c r="BW13" i="11" s="1"/>
  <c r="BW12" i="11" s="1"/>
  <c r="BW19" i="11"/>
  <c r="BV18" i="11"/>
  <c r="BV17" i="11" s="1"/>
  <c r="BV16" i="11" s="1"/>
  <c r="BV15" i="11" s="1"/>
  <c r="BV14" i="11" s="1"/>
  <c r="BV13" i="11" s="1"/>
  <c r="BV12" i="11" s="1"/>
  <c r="BV19" i="11"/>
  <c r="F225" i="5"/>
  <c r="F245" i="5" l="1"/>
  <c r="F264" i="5" l="1"/>
  <c r="F284" i="5" l="1"/>
  <c r="F304" i="5" l="1"/>
  <c r="F324" i="5" l="1"/>
  <c r="F344" i="5" l="1"/>
  <c r="AY48" i="11" l="1"/>
  <c r="AY49" i="11" s="1"/>
  <c r="AY50" i="11" s="1"/>
  <c r="AY51" i="11" s="1"/>
  <c r="AZ48" i="11"/>
  <c r="BA48" i="11"/>
  <c r="BB48" i="11"/>
  <c r="BC48" i="11"/>
  <c r="BC49" i="11" s="1"/>
  <c r="BC50" i="11" s="1"/>
  <c r="BC51" i="11" s="1"/>
  <c r="BD48" i="11"/>
  <c r="BE48" i="11"/>
  <c r="BE49" i="11" s="1"/>
  <c r="BE50" i="11" s="1"/>
  <c r="BE51" i="11" s="1"/>
  <c r="BF48" i="11"/>
  <c r="BF49" i="11" s="1"/>
  <c r="BF50" i="11" s="1"/>
  <c r="BF51" i="11" s="1"/>
  <c r="BG48" i="11"/>
  <c r="BH48" i="11"/>
  <c r="BH49" i="11" s="1"/>
  <c r="BH50" i="11" s="1"/>
  <c r="BH51" i="11" s="1"/>
  <c r="BI48" i="11"/>
  <c r="BI49" i="11" s="1"/>
  <c r="BI50" i="11" s="1"/>
  <c r="BI51" i="11" s="1"/>
  <c r="BJ48" i="11"/>
  <c r="BK48" i="11"/>
  <c r="BK49" i="11" s="1"/>
  <c r="BK50" i="11" s="1"/>
  <c r="BK51" i="11" s="1"/>
  <c r="BL48" i="11"/>
  <c r="BM48" i="11"/>
  <c r="BN48" i="11"/>
  <c r="BO48" i="11"/>
  <c r="BO49" i="11" s="1"/>
  <c r="BO50" i="11" s="1"/>
  <c r="BO51" i="11" s="1"/>
  <c r="BP48" i="11"/>
  <c r="BQ48" i="11"/>
  <c r="BQ49" i="11" s="1"/>
  <c r="BQ50" i="11" s="1"/>
  <c r="BQ51" i="11" s="1"/>
  <c r="BR48" i="11"/>
  <c r="BR49" i="11" s="1"/>
  <c r="BR50" i="11" s="1"/>
  <c r="BR51" i="11" s="1"/>
  <c r="BS48" i="11"/>
  <c r="BT48" i="11"/>
  <c r="BT49" i="11" s="1"/>
  <c r="BT50" i="11" s="1"/>
  <c r="BT51" i="11" s="1"/>
  <c r="BU48" i="11"/>
  <c r="BU49" i="11" s="1"/>
  <c r="BU50" i="11" s="1"/>
  <c r="BU51" i="11" s="1"/>
  <c r="AZ49" i="11"/>
  <c r="AZ50" i="11" s="1"/>
  <c r="AZ51" i="11" s="1"/>
  <c r="BA49" i="11"/>
  <c r="BB49" i="11"/>
  <c r="BD49" i="11"/>
  <c r="BD50" i="11" s="1"/>
  <c r="BD51" i="11" s="1"/>
  <c r="BG49" i="11"/>
  <c r="BG50" i="11" s="1"/>
  <c r="BG51" i="11" s="1"/>
  <c r="BJ49" i="11"/>
  <c r="BJ50" i="11" s="1"/>
  <c r="BJ51" i="11" s="1"/>
  <c r="BL49" i="11"/>
  <c r="BL50" i="11" s="1"/>
  <c r="BL51" i="11" s="1"/>
  <c r="BM49" i="11"/>
  <c r="BN49" i="11"/>
  <c r="BP49" i="11"/>
  <c r="BP50" i="11" s="1"/>
  <c r="BP51" i="11" s="1"/>
  <c r="BS49" i="11"/>
  <c r="BS50" i="11" s="1"/>
  <c r="BS51" i="11" s="1"/>
  <c r="BA50" i="11"/>
  <c r="BA51" i="11" s="1"/>
  <c r="BB50" i="11"/>
  <c r="BM50" i="11"/>
  <c r="BM51" i="11" s="1"/>
  <c r="BN50" i="11"/>
  <c r="BB51" i="11"/>
  <c r="BN51" i="11"/>
  <c r="AY45" i="11"/>
  <c r="AY46" i="11" s="1"/>
  <c r="AZ45" i="11"/>
  <c r="AZ46" i="11" s="1"/>
  <c r="BA45" i="11"/>
  <c r="BA46" i="11" s="1"/>
  <c r="BB45" i="11"/>
  <c r="BC45" i="11"/>
  <c r="BC46" i="11" s="1"/>
  <c r="BD45" i="11"/>
  <c r="BE45" i="11"/>
  <c r="BE46" i="11" s="1"/>
  <c r="BF45" i="11"/>
  <c r="BG45" i="11"/>
  <c r="BG46" i="11" s="1"/>
  <c r="BH45" i="11"/>
  <c r="BI45" i="11"/>
  <c r="BI46" i="11" s="1"/>
  <c r="BJ45" i="11"/>
  <c r="BJ46" i="11" s="1"/>
  <c r="BK45" i="11"/>
  <c r="BK46" i="11" s="1"/>
  <c r="BL45" i="11"/>
  <c r="BL46" i="11" s="1"/>
  <c r="BM45" i="11"/>
  <c r="BM46" i="11" s="1"/>
  <c r="BN45" i="11"/>
  <c r="BO45" i="11"/>
  <c r="BO46" i="11" s="1"/>
  <c r="BP45" i="11"/>
  <c r="BQ45" i="11"/>
  <c r="BQ46" i="11" s="1"/>
  <c r="BR45" i="11"/>
  <c r="BS45" i="11"/>
  <c r="BS46" i="11" s="1"/>
  <c r="BT45" i="11"/>
  <c r="BU45" i="11"/>
  <c r="BB46" i="11"/>
  <c r="BD46" i="11"/>
  <c r="BF46" i="11"/>
  <c r="BH46" i="11"/>
  <c r="BN46" i="11"/>
  <c r="BP46" i="11"/>
  <c r="BR46" i="11"/>
  <c r="BT46" i="11"/>
  <c r="BU46" i="11"/>
  <c r="AY40" i="11"/>
  <c r="AZ40" i="11"/>
  <c r="BA40" i="11"/>
  <c r="BB40" i="11"/>
  <c r="BC40" i="11"/>
  <c r="BD40" i="11"/>
  <c r="BE40" i="11"/>
  <c r="BF40" i="11"/>
  <c r="BG40" i="11"/>
  <c r="BG41" i="11" s="1"/>
  <c r="BG42" i="11" s="1"/>
  <c r="BG43" i="11" s="1"/>
  <c r="BH40" i="11"/>
  <c r="BH41" i="11" s="1"/>
  <c r="BH42" i="11" s="1"/>
  <c r="BH43" i="11" s="1"/>
  <c r="BI40" i="11"/>
  <c r="BI41" i="11" s="1"/>
  <c r="BI42" i="11" s="1"/>
  <c r="BI43" i="11" s="1"/>
  <c r="BJ40" i="11"/>
  <c r="BK40" i="11"/>
  <c r="BL40" i="11"/>
  <c r="BM40" i="11"/>
  <c r="BN40" i="11"/>
  <c r="BO40" i="11"/>
  <c r="BP40" i="11"/>
  <c r="BQ40" i="11"/>
  <c r="BR40" i="11"/>
  <c r="BS40" i="11"/>
  <c r="BS41" i="11" s="1"/>
  <c r="BS42" i="11" s="1"/>
  <c r="BS43" i="11" s="1"/>
  <c r="BT40" i="11"/>
  <c r="BT41" i="11" s="1"/>
  <c r="BT42" i="11" s="1"/>
  <c r="BT43" i="11" s="1"/>
  <c r="BU40" i="11"/>
  <c r="BU41" i="11" s="1"/>
  <c r="BU42" i="11" s="1"/>
  <c r="BU43" i="11" s="1"/>
  <c r="AY41" i="11"/>
  <c r="AZ41" i="11"/>
  <c r="BA41" i="11"/>
  <c r="BB41" i="11"/>
  <c r="BC41" i="11"/>
  <c r="BD41" i="11"/>
  <c r="BE41" i="11"/>
  <c r="BF41" i="11"/>
  <c r="BJ41" i="11"/>
  <c r="BJ42" i="11" s="1"/>
  <c r="BJ43" i="11" s="1"/>
  <c r="BK41" i="11"/>
  <c r="BL41" i="11"/>
  <c r="BM41" i="11"/>
  <c r="BN41" i="11"/>
  <c r="BO41" i="11"/>
  <c r="BP41" i="11"/>
  <c r="BQ41" i="11"/>
  <c r="BR41" i="11"/>
  <c r="AY42" i="11"/>
  <c r="AY43" i="11" s="1"/>
  <c r="AZ42" i="11"/>
  <c r="BA42" i="11"/>
  <c r="BB42" i="11"/>
  <c r="BC42" i="11"/>
  <c r="BD42" i="11"/>
  <c r="BE42" i="11"/>
  <c r="BF42" i="11"/>
  <c r="BK42" i="11"/>
  <c r="BK43" i="11" s="1"/>
  <c r="BL42" i="11"/>
  <c r="BM42" i="11"/>
  <c r="BN42" i="11"/>
  <c r="BO42" i="11"/>
  <c r="BP42" i="11"/>
  <c r="BQ42" i="11"/>
  <c r="BR42" i="11"/>
  <c r="AZ43" i="11"/>
  <c r="BA43" i="11"/>
  <c r="BB43" i="11"/>
  <c r="BC43" i="11"/>
  <c r="BD43" i="11"/>
  <c r="BE43" i="11"/>
  <c r="BF43" i="11"/>
  <c r="BL43" i="11"/>
  <c r="BM43" i="11"/>
  <c r="BN43" i="11"/>
  <c r="BO43" i="11"/>
  <c r="BP43" i="11"/>
  <c r="BQ43" i="11"/>
  <c r="BR43" i="11"/>
  <c r="AY35" i="11"/>
  <c r="AY36" i="11" s="1"/>
  <c r="AY37" i="11" s="1"/>
  <c r="AY38" i="11" s="1"/>
  <c r="AZ35" i="11"/>
  <c r="AZ36" i="11" s="1"/>
  <c r="AZ37" i="11" s="1"/>
  <c r="AZ38" i="11" s="1"/>
  <c r="BA35" i="11"/>
  <c r="BB35" i="11"/>
  <c r="BB36" i="11" s="1"/>
  <c r="BB37" i="11" s="1"/>
  <c r="BB38" i="11" s="1"/>
  <c r="BC35" i="11"/>
  <c r="BC36" i="11" s="1"/>
  <c r="BC37" i="11" s="1"/>
  <c r="BC38" i="11" s="1"/>
  <c r="BD35" i="11"/>
  <c r="BE35" i="11"/>
  <c r="BF35" i="11"/>
  <c r="BG35" i="11"/>
  <c r="BG36" i="11" s="1"/>
  <c r="BG37" i="11" s="1"/>
  <c r="BG38" i="11" s="1"/>
  <c r="BH35" i="11"/>
  <c r="BH36" i="11" s="1"/>
  <c r="BH37" i="11" s="1"/>
  <c r="BH38" i="11" s="1"/>
  <c r="BI35" i="11"/>
  <c r="BI36" i="11" s="1"/>
  <c r="BI37" i="11" s="1"/>
  <c r="BI38" i="11" s="1"/>
  <c r="BJ35" i="11"/>
  <c r="BK35" i="11"/>
  <c r="BK36" i="11" s="1"/>
  <c r="BK37" i="11" s="1"/>
  <c r="BK38" i="11" s="1"/>
  <c r="BL35" i="11"/>
  <c r="BL36" i="11" s="1"/>
  <c r="BL37" i="11" s="1"/>
  <c r="BL38" i="11" s="1"/>
  <c r="BM35" i="11"/>
  <c r="BN35" i="11"/>
  <c r="BN36" i="11" s="1"/>
  <c r="BN37" i="11" s="1"/>
  <c r="BN38" i="11" s="1"/>
  <c r="BO35" i="11"/>
  <c r="BO36" i="11" s="1"/>
  <c r="BO37" i="11" s="1"/>
  <c r="BO38" i="11" s="1"/>
  <c r="BP35" i="11"/>
  <c r="BQ35" i="11"/>
  <c r="BR35" i="11"/>
  <c r="BS35" i="11"/>
  <c r="BS36" i="11" s="1"/>
  <c r="BS37" i="11" s="1"/>
  <c r="BS38" i="11" s="1"/>
  <c r="BT35" i="11"/>
  <c r="BT36" i="11" s="1"/>
  <c r="BT37" i="11" s="1"/>
  <c r="BT38" i="11" s="1"/>
  <c r="BU35" i="11"/>
  <c r="BU36" i="11" s="1"/>
  <c r="BU37" i="11" s="1"/>
  <c r="BU38" i="11" s="1"/>
  <c r="BA36" i="11"/>
  <c r="BA37" i="11" s="1"/>
  <c r="BA38" i="11" s="1"/>
  <c r="BD36" i="11"/>
  <c r="BD37" i="11" s="1"/>
  <c r="BD38" i="11" s="1"/>
  <c r="BE36" i="11"/>
  <c r="BF36" i="11"/>
  <c r="BJ36" i="11"/>
  <c r="BJ37" i="11" s="1"/>
  <c r="BJ38" i="11" s="1"/>
  <c r="BM36" i="11"/>
  <c r="BM37" i="11" s="1"/>
  <c r="BM38" i="11" s="1"/>
  <c r="BP36" i="11"/>
  <c r="BP37" i="11" s="1"/>
  <c r="BP38" i="11" s="1"/>
  <c r="BQ36" i="11"/>
  <c r="BR36" i="11"/>
  <c r="BE37" i="11"/>
  <c r="BE38" i="11" s="1"/>
  <c r="BF37" i="11"/>
  <c r="BQ37" i="11"/>
  <c r="BQ38" i="11" s="1"/>
  <c r="BR37" i="11"/>
  <c r="BF38" i="11"/>
  <c r="BR38" i="11"/>
  <c r="AY26" i="11"/>
  <c r="AZ26" i="11"/>
  <c r="AZ27" i="11" s="1"/>
  <c r="AZ28" i="11" s="1"/>
  <c r="AZ29" i="11" s="1"/>
  <c r="AZ30" i="11" s="1"/>
  <c r="AZ31" i="11" s="1"/>
  <c r="AZ32" i="11" s="1"/>
  <c r="AZ33" i="11" s="1"/>
  <c r="BA26" i="11"/>
  <c r="BA27" i="11" s="1"/>
  <c r="BA28" i="11" s="1"/>
  <c r="BA29" i="11" s="1"/>
  <c r="BA30" i="11" s="1"/>
  <c r="BA31" i="11" s="1"/>
  <c r="BA32" i="11" s="1"/>
  <c r="BA33" i="11" s="1"/>
  <c r="BB26" i="11"/>
  <c r="BC26" i="11"/>
  <c r="BC27" i="11" s="1"/>
  <c r="BC28" i="11" s="1"/>
  <c r="BC29" i="11" s="1"/>
  <c r="BC30" i="11" s="1"/>
  <c r="BC31" i="11" s="1"/>
  <c r="BC32" i="11" s="1"/>
  <c r="BC33" i="11" s="1"/>
  <c r="BD26" i="11"/>
  <c r="BE26" i="11"/>
  <c r="BF26" i="11"/>
  <c r="BG26" i="11"/>
  <c r="BG27" i="11" s="1"/>
  <c r="BG28" i="11" s="1"/>
  <c r="BG29" i="11" s="1"/>
  <c r="BG30" i="11" s="1"/>
  <c r="BG31" i="11" s="1"/>
  <c r="BG32" i="11" s="1"/>
  <c r="BG33" i="11" s="1"/>
  <c r="BH26" i="11"/>
  <c r="BI26" i="11"/>
  <c r="BI27" i="11" s="1"/>
  <c r="BI28" i="11" s="1"/>
  <c r="BI29" i="11" s="1"/>
  <c r="BI30" i="11" s="1"/>
  <c r="BI31" i="11" s="1"/>
  <c r="BI32" i="11" s="1"/>
  <c r="BI33" i="11" s="1"/>
  <c r="BJ26" i="11"/>
  <c r="BK26" i="11"/>
  <c r="BL26" i="11"/>
  <c r="BL27" i="11" s="1"/>
  <c r="BL28" i="11" s="1"/>
  <c r="BL29" i="11" s="1"/>
  <c r="BL30" i="11" s="1"/>
  <c r="BL31" i="11" s="1"/>
  <c r="BL32" i="11" s="1"/>
  <c r="BL33" i="11" s="1"/>
  <c r="BM26" i="11"/>
  <c r="BM27" i="11" s="1"/>
  <c r="BM28" i="11" s="1"/>
  <c r="BM29" i="11" s="1"/>
  <c r="BM30" i="11" s="1"/>
  <c r="BM31" i="11" s="1"/>
  <c r="BM32" i="11" s="1"/>
  <c r="BM33" i="11" s="1"/>
  <c r="BN26" i="11"/>
  <c r="BO26" i="11"/>
  <c r="BO27" i="11" s="1"/>
  <c r="BO28" i="11" s="1"/>
  <c r="BO29" i="11" s="1"/>
  <c r="BO30" i="11" s="1"/>
  <c r="BO31" i="11" s="1"/>
  <c r="BO32" i="11" s="1"/>
  <c r="BO33" i="11" s="1"/>
  <c r="BP26" i="11"/>
  <c r="BQ26" i="11"/>
  <c r="BR26" i="11"/>
  <c r="BS26" i="11"/>
  <c r="BS27" i="11" s="1"/>
  <c r="BS28" i="11" s="1"/>
  <c r="BS29" i="11" s="1"/>
  <c r="BS30" i="11" s="1"/>
  <c r="BS31" i="11" s="1"/>
  <c r="BS32" i="11" s="1"/>
  <c r="BS33" i="11" s="1"/>
  <c r="BT26" i="11"/>
  <c r="BU26" i="11"/>
  <c r="BU27" i="11" s="1"/>
  <c r="BU28" i="11" s="1"/>
  <c r="BU29" i="11" s="1"/>
  <c r="BU30" i="11" s="1"/>
  <c r="BU31" i="11" s="1"/>
  <c r="BU32" i="11" s="1"/>
  <c r="BU33" i="11" s="1"/>
  <c r="AY27" i="11"/>
  <c r="BB27" i="11"/>
  <c r="BB28" i="11" s="1"/>
  <c r="BB29" i="11" s="1"/>
  <c r="BB30" i="11" s="1"/>
  <c r="BB31" i="11" s="1"/>
  <c r="BB32" i="11" s="1"/>
  <c r="BB33" i="11" s="1"/>
  <c r="BD27" i="11"/>
  <c r="BD28" i="11" s="1"/>
  <c r="BD29" i="11" s="1"/>
  <c r="BD30" i="11" s="1"/>
  <c r="BD31" i="11" s="1"/>
  <c r="BD32" i="11" s="1"/>
  <c r="BD33" i="11" s="1"/>
  <c r="BE27" i="11"/>
  <c r="BF27" i="11"/>
  <c r="BH27" i="11"/>
  <c r="BH28" i="11" s="1"/>
  <c r="BH29" i="11" s="1"/>
  <c r="BH30" i="11" s="1"/>
  <c r="BH31" i="11" s="1"/>
  <c r="BH32" i="11" s="1"/>
  <c r="BH33" i="11" s="1"/>
  <c r="BJ27" i="11"/>
  <c r="BJ28" i="11" s="1"/>
  <c r="BJ29" i="11" s="1"/>
  <c r="BJ30" i="11" s="1"/>
  <c r="BJ31" i="11" s="1"/>
  <c r="BJ32" i="11" s="1"/>
  <c r="BJ33" i="11" s="1"/>
  <c r="BK27" i="11"/>
  <c r="BN27" i="11"/>
  <c r="BN28" i="11" s="1"/>
  <c r="BN29" i="11" s="1"/>
  <c r="BN30" i="11" s="1"/>
  <c r="BN31" i="11" s="1"/>
  <c r="BN32" i="11" s="1"/>
  <c r="BN33" i="11" s="1"/>
  <c r="BP27" i="11"/>
  <c r="BP28" i="11" s="1"/>
  <c r="BP29" i="11" s="1"/>
  <c r="BP30" i="11" s="1"/>
  <c r="BP31" i="11" s="1"/>
  <c r="BP32" i="11" s="1"/>
  <c r="BP33" i="11" s="1"/>
  <c r="BQ27" i="11"/>
  <c r="BR27" i="11"/>
  <c r="BT27" i="11"/>
  <c r="BT28" i="11" s="1"/>
  <c r="BT29" i="11" s="1"/>
  <c r="BT30" i="11" s="1"/>
  <c r="BT31" i="11" s="1"/>
  <c r="BT32" i="11" s="1"/>
  <c r="BT33" i="11" s="1"/>
  <c r="AY28" i="11"/>
  <c r="AY29" i="11" s="1"/>
  <c r="AY30" i="11" s="1"/>
  <c r="AY31" i="11" s="1"/>
  <c r="AY32" i="11" s="1"/>
  <c r="AY33" i="11" s="1"/>
  <c r="BE28" i="11"/>
  <c r="BE29" i="11" s="1"/>
  <c r="BE30" i="11" s="1"/>
  <c r="BE31" i="11" s="1"/>
  <c r="BE32" i="11" s="1"/>
  <c r="BE33" i="11" s="1"/>
  <c r="BF28" i="11"/>
  <c r="BK28" i="11"/>
  <c r="BK29" i="11" s="1"/>
  <c r="BK30" i="11" s="1"/>
  <c r="BK31" i="11" s="1"/>
  <c r="BK32" i="11" s="1"/>
  <c r="BK33" i="11" s="1"/>
  <c r="BQ28" i="11"/>
  <c r="BQ29" i="11" s="1"/>
  <c r="BQ30" i="11" s="1"/>
  <c r="BQ31" i="11" s="1"/>
  <c r="BQ32" i="11" s="1"/>
  <c r="BQ33" i="11" s="1"/>
  <c r="BR28" i="11"/>
  <c r="BF29" i="11"/>
  <c r="BF30" i="11" s="1"/>
  <c r="BF31" i="11" s="1"/>
  <c r="BF32" i="11" s="1"/>
  <c r="BF33" i="11" s="1"/>
  <c r="BR29" i="11"/>
  <c r="BR30" i="11" s="1"/>
  <c r="BR31" i="11" s="1"/>
  <c r="BR32" i="11" s="1"/>
  <c r="BR33" i="11" s="1"/>
  <c r="AY23" i="11"/>
  <c r="AY24" i="11" s="1"/>
  <c r="AZ23" i="11"/>
  <c r="BA23" i="11"/>
  <c r="BB23" i="11"/>
  <c r="BC23" i="11"/>
  <c r="BD23" i="11"/>
  <c r="BE23" i="11"/>
  <c r="BF23" i="11"/>
  <c r="BG23" i="11"/>
  <c r="BG24" i="11" s="1"/>
  <c r="BH23" i="11"/>
  <c r="BH24" i="11" s="1"/>
  <c r="BI23" i="11"/>
  <c r="BI24" i="11" s="1"/>
  <c r="BJ23" i="11"/>
  <c r="BK23" i="11"/>
  <c r="BK24" i="11" s="1"/>
  <c r="BL23" i="11"/>
  <c r="BM23" i="11"/>
  <c r="BN23" i="11"/>
  <c r="BO23" i="11"/>
  <c r="BP23" i="11"/>
  <c r="BQ23" i="11"/>
  <c r="BR23" i="11"/>
  <c r="BS23" i="11"/>
  <c r="BS24" i="11" s="1"/>
  <c r="BT23" i="11"/>
  <c r="BT24" i="11" s="1"/>
  <c r="BU23" i="11"/>
  <c r="BU24" i="11" s="1"/>
  <c r="AZ24" i="11"/>
  <c r="BA24" i="11"/>
  <c r="BB24" i="11"/>
  <c r="BC24" i="11"/>
  <c r="BD24" i="11"/>
  <c r="BE24" i="11"/>
  <c r="BF24" i="11"/>
  <c r="BJ24" i="11"/>
  <c r="BL24" i="11"/>
  <c r="BM24" i="11"/>
  <c r="BN24" i="11"/>
  <c r="BO24" i="11"/>
  <c r="BP24" i="11"/>
  <c r="BQ24" i="11"/>
  <c r="BR24" i="11"/>
  <c r="AY18" i="11"/>
  <c r="AZ18" i="11"/>
  <c r="AZ19" i="11" s="1"/>
  <c r="AZ20" i="11" s="1"/>
  <c r="AZ21" i="11" s="1"/>
  <c r="BA18" i="11"/>
  <c r="BA19" i="11" s="1"/>
  <c r="BA20" i="11" s="1"/>
  <c r="BA21" i="11" s="1"/>
  <c r="BB18" i="11"/>
  <c r="BB19" i="11" s="1"/>
  <c r="BB20" i="11" s="1"/>
  <c r="BB21" i="11" s="1"/>
  <c r="BC18" i="11"/>
  <c r="BC19" i="11" s="1"/>
  <c r="BC20" i="11" s="1"/>
  <c r="BC21" i="11" s="1"/>
  <c r="BD18" i="11"/>
  <c r="BE18" i="11"/>
  <c r="BF18" i="11"/>
  <c r="BG18" i="11"/>
  <c r="BG19" i="11" s="1"/>
  <c r="BG20" i="11" s="1"/>
  <c r="BG21" i="11" s="1"/>
  <c r="BH18" i="11"/>
  <c r="BH19" i="11" s="1"/>
  <c r="BH20" i="11" s="1"/>
  <c r="BH21" i="11" s="1"/>
  <c r="BI18" i="11"/>
  <c r="BI19" i="11" s="1"/>
  <c r="BI20" i="11" s="1"/>
  <c r="BI21" i="11" s="1"/>
  <c r="BJ18" i="11"/>
  <c r="BK18" i="11"/>
  <c r="BL18" i="11"/>
  <c r="BL19" i="11" s="1"/>
  <c r="BL20" i="11" s="1"/>
  <c r="BL21" i="11" s="1"/>
  <c r="BM18" i="11"/>
  <c r="BM19" i="11" s="1"/>
  <c r="BM20" i="11" s="1"/>
  <c r="BM21" i="11" s="1"/>
  <c r="BN18" i="11"/>
  <c r="BN19" i="11" s="1"/>
  <c r="BN20" i="11" s="1"/>
  <c r="BN21" i="11" s="1"/>
  <c r="BO18" i="11"/>
  <c r="BO19" i="11" s="1"/>
  <c r="BO20" i="11" s="1"/>
  <c r="BO21" i="11" s="1"/>
  <c r="BP18" i="11"/>
  <c r="BQ18" i="11"/>
  <c r="BR18" i="11"/>
  <c r="BS18" i="11"/>
  <c r="BS19" i="11" s="1"/>
  <c r="BS20" i="11" s="1"/>
  <c r="BS21" i="11" s="1"/>
  <c r="BT18" i="11"/>
  <c r="BT19" i="11" s="1"/>
  <c r="BT20" i="11" s="1"/>
  <c r="BT21" i="11" s="1"/>
  <c r="BU18" i="11"/>
  <c r="BU19" i="11" s="1"/>
  <c r="BU20" i="11" s="1"/>
  <c r="BU21" i="11" s="1"/>
  <c r="AY19" i="11"/>
  <c r="BD19" i="11"/>
  <c r="BD20" i="11" s="1"/>
  <c r="BD21" i="11" s="1"/>
  <c r="BE19" i="11"/>
  <c r="BF19" i="11"/>
  <c r="BJ19" i="11"/>
  <c r="BJ20" i="11" s="1"/>
  <c r="BJ21" i="11" s="1"/>
  <c r="BK19" i="11"/>
  <c r="BP19" i="11"/>
  <c r="BP20" i="11" s="1"/>
  <c r="BP21" i="11" s="1"/>
  <c r="BQ19" i="11"/>
  <c r="BR19" i="11"/>
  <c r="AY20" i="11"/>
  <c r="AY21" i="11" s="1"/>
  <c r="BE20" i="11"/>
  <c r="BE21" i="11" s="1"/>
  <c r="BF20" i="11"/>
  <c r="BK20" i="11"/>
  <c r="BK21" i="11" s="1"/>
  <c r="BQ20" i="11"/>
  <c r="BQ21" i="11" s="1"/>
  <c r="BR20" i="11"/>
  <c r="BR21" i="11" s="1"/>
  <c r="BF21" i="11"/>
  <c r="AX49" i="11"/>
  <c r="AX50" i="11" s="1"/>
  <c r="AX51" i="11" s="1"/>
  <c r="AX48" i="11"/>
  <c r="AX46" i="11"/>
  <c r="AX45" i="11"/>
  <c r="AX41" i="11"/>
  <c r="AX42" i="11" s="1"/>
  <c r="AX43" i="11" s="1"/>
  <c r="AX40" i="11"/>
  <c r="AX36" i="11"/>
  <c r="AX37" i="11"/>
  <c r="AX38" i="11"/>
  <c r="AX35" i="11"/>
  <c r="AX24" i="11"/>
  <c r="AX23" i="11"/>
  <c r="AY13" i="11"/>
  <c r="AY14" i="11" s="1"/>
  <c r="AY15" i="11" s="1"/>
  <c r="AY16" i="11" s="1"/>
  <c r="AZ13" i="11"/>
  <c r="BA13" i="11"/>
  <c r="BB13" i="11"/>
  <c r="BB14" i="11" s="1"/>
  <c r="BB15" i="11" s="1"/>
  <c r="BB16" i="11" s="1"/>
  <c r="BC13" i="11"/>
  <c r="BD13" i="11"/>
  <c r="BE13" i="11"/>
  <c r="BE14" i="11" s="1"/>
  <c r="BE15" i="11" s="1"/>
  <c r="BE16" i="11" s="1"/>
  <c r="BF13" i="11"/>
  <c r="BF14" i="11" s="1"/>
  <c r="BF15" i="11" s="1"/>
  <c r="BF16" i="11" s="1"/>
  <c r="BG13" i="11"/>
  <c r="BG14" i="11" s="1"/>
  <c r="BG15" i="11" s="1"/>
  <c r="BG16" i="11" s="1"/>
  <c r="BH13" i="11"/>
  <c r="BI13" i="11"/>
  <c r="BI14" i="11" s="1"/>
  <c r="BI15" i="11" s="1"/>
  <c r="BI16" i="11" s="1"/>
  <c r="BJ13" i="11"/>
  <c r="BK13" i="11"/>
  <c r="BK14" i="11" s="1"/>
  <c r="BK15" i="11" s="1"/>
  <c r="BK16" i="11" s="1"/>
  <c r="BL13" i="11"/>
  <c r="BM13" i="11"/>
  <c r="BN13" i="11"/>
  <c r="BN14" i="11" s="1"/>
  <c r="BN15" i="11" s="1"/>
  <c r="BN16" i="11" s="1"/>
  <c r="BO13" i="11"/>
  <c r="BP13" i="11"/>
  <c r="BQ13" i="11"/>
  <c r="BQ14" i="11" s="1"/>
  <c r="BQ15" i="11" s="1"/>
  <c r="BQ16" i="11" s="1"/>
  <c r="BR13" i="11"/>
  <c r="BR14" i="11" s="1"/>
  <c r="BR15" i="11" s="1"/>
  <c r="BR16" i="11" s="1"/>
  <c r="BS13" i="11"/>
  <c r="BS14" i="11" s="1"/>
  <c r="BS15" i="11" s="1"/>
  <c r="BS16" i="11" s="1"/>
  <c r="BT13" i="11"/>
  <c r="BU13" i="11"/>
  <c r="BU14" i="11" s="1"/>
  <c r="BU15" i="11" s="1"/>
  <c r="BU16" i="11" s="1"/>
  <c r="AZ14" i="11"/>
  <c r="AZ15" i="11" s="1"/>
  <c r="AZ16" i="11" s="1"/>
  <c r="BA14" i="11"/>
  <c r="BC14" i="11"/>
  <c r="BC15" i="11" s="1"/>
  <c r="BC16" i="11" s="1"/>
  <c r="BD14" i="11"/>
  <c r="BH14" i="11"/>
  <c r="BH15" i="11" s="1"/>
  <c r="BH16" i="11" s="1"/>
  <c r="BJ14" i="11"/>
  <c r="BJ15" i="11" s="1"/>
  <c r="BJ16" i="11" s="1"/>
  <c r="BL14" i="11"/>
  <c r="BL15" i="11" s="1"/>
  <c r="BL16" i="11" s="1"/>
  <c r="BM14" i="11"/>
  <c r="BO14" i="11"/>
  <c r="BO15" i="11" s="1"/>
  <c r="BO16" i="11" s="1"/>
  <c r="BP14" i="11"/>
  <c r="BT14" i="11"/>
  <c r="BT15" i="11" s="1"/>
  <c r="BT16" i="11" s="1"/>
  <c r="BA15" i="11"/>
  <c r="BA16" i="11" s="1"/>
  <c r="BD15" i="11"/>
  <c r="BD16" i="11" s="1"/>
  <c r="BM15" i="11"/>
  <c r="BM16" i="11" s="1"/>
  <c r="BP15" i="11"/>
  <c r="BP16" i="11" s="1"/>
  <c r="AX14" i="11"/>
  <c r="AX15" i="11" s="1"/>
  <c r="AX16" i="11" s="1"/>
  <c r="AX13" i="11"/>
  <c r="J64" i="1"/>
  <c r="H65" i="1"/>
  <c r="J65" i="1"/>
  <c r="B66" i="1"/>
  <c r="H66" i="1"/>
  <c r="J66" i="1"/>
  <c r="B22" i="1"/>
  <c r="S9" i="9"/>
  <c r="P6" i="5" s="1"/>
  <c r="S8" i="9"/>
  <c r="M6" i="5"/>
  <c r="N6" i="5" s="1"/>
  <c r="E25" i="1"/>
  <c r="AW15" i="11"/>
  <c r="AW14" i="11"/>
  <c r="AW13" i="11"/>
  <c r="AW12" i="11"/>
  <c r="AW16" i="11"/>
  <c r="AV15" i="11"/>
  <c r="AV14" i="11"/>
  <c r="AV13" i="11"/>
  <c r="AV12" i="11"/>
  <c r="AV16" i="11"/>
  <c r="AU15" i="11"/>
  <c r="AU14" i="11"/>
  <c r="AU13" i="11"/>
  <c r="AU12" i="11"/>
  <c r="AU16" i="11"/>
  <c r="AT15" i="11"/>
  <c r="AT14" i="11"/>
  <c r="AT13" i="11"/>
  <c r="AT12" i="11"/>
  <c r="AT16" i="11"/>
  <c r="AS15" i="11"/>
  <c r="AS14" i="11"/>
  <c r="AS13" i="11"/>
  <c r="AS12" i="11"/>
  <c r="AS16" i="11"/>
  <c r="AR15" i="11"/>
  <c r="AR14" i="11"/>
  <c r="AR13" i="11"/>
  <c r="AR12" i="11"/>
  <c r="AR16" i="11"/>
  <c r="AQ15" i="11"/>
  <c r="AQ14" i="11"/>
  <c r="AQ13" i="11"/>
  <c r="AQ12" i="11"/>
  <c r="AQ16" i="11"/>
  <c r="AP15" i="11"/>
  <c r="AP14" i="11"/>
  <c r="AP13" i="11"/>
  <c r="AP12" i="11"/>
  <c r="AP16" i="11"/>
  <c r="AO15" i="11"/>
  <c r="AO14" i="11"/>
  <c r="AO13" i="11"/>
  <c r="AO12" i="11"/>
  <c r="AO16" i="11"/>
  <c r="AN15" i="11"/>
  <c r="AN14" i="11"/>
  <c r="AN13" i="11"/>
  <c r="AN12" i="11"/>
  <c r="AN16" i="11"/>
  <c r="AM15" i="11"/>
  <c r="AM14" i="11"/>
  <c r="AM13" i="11"/>
  <c r="AM12" i="11"/>
  <c r="AM16" i="11"/>
  <c r="AL15" i="11"/>
  <c r="AL14" i="11"/>
  <c r="AL13" i="11"/>
  <c r="AL12" i="11"/>
  <c r="AL16" i="11"/>
  <c r="AK15" i="11"/>
  <c r="AK14" i="11"/>
  <c r="AK13" i="11"/>
  <c r="AK12" i="11"/>
  <c r="AK16" i="11"/>
  <c r="AJ15" i="11"/>
  <c r="AJ14" i="11"/>
  <c r="AJ13" i="11"/>
  <c r="AJ12" i="11"/>
  <c r="AJ16" i="11"/>
  <c r="AI15" i="11"/>
  <c r="AI14" i="11"/>
  <c r="AI13" i="11"/>
  <c r="AI12" i="11"/>
  <c r="AI16" i="11"/>
  <c r="AH15" i="11"/>
  <c r="AH14" i="11"/>
  <c r="AH13" i="11"/>
  <c r="AH12" i="11"/>
  <c r="AH16" i="11"/>
  <c r="AG15" i="11"/>
  <c r="AG14" i="11"/>
  <c r="AG13" i="11"/>
  <c r="AG12" i="11"/>
  <c r="AG16" i="11"/>
  <c r="AF12" i="11"/>
  <c r="AF13" i="11"/>
  <c r="AF14" i="11"/>
  <c r="AF15" i="11"/>
  <c r="AF16" i="11"/>
  <c r="AF18" i="11"/>
  <c r="AF19" i="11" s="1"/>
  <c r="AF21" i="11"/>
  <c r="AF22" i="11" s="1"/>
  <c r="AF23" i="11" s="1"/>
  <c r="AF24" i="11" s="1"/>
  <c r="AG45" i="11"/>
  <c r="AG46" i="11" s="1"/>
  <c r="AG47" i="11" s="1"/>
  <c r="AG48" i="11" s="1"/>
  <c r="AG49" i="11" s="1"/>
  <c r="AG50" i="11" s="1"/>
  <c r="AG51" i="11" s="1"/>
  <c r="AH45" i="11"/>
  <c r="AH46" i="11" s="1"/>
  <c r="AH47" i="11" s="1"/>
  <c r="AH48" i="11" s="1"/>
  <c r="AH49" i="11" s="1"/>
  <c r="AH50" i="11" s="1"/>
  <c r="AH51" i="11" s="1"/>
  <c r="AI45" i="11"/>
  <c r="AI46" i="11" s="1"/>
  <c r="AI47" i="11" s="1"/>
  <c r="AI48" i="11" s="1"/>
  <c r="AI49" i="11" s="1"/>
  <c r="AI50" i="11" s="1"/>
  <c r="AI51" i="11" s="1"/>
  <c r="AJ45" i="11"/>
  <c r="AJ46" i="11" s="1"/>
  <c r="AJ47" i="11" s="1"/>
  <c r="AJ48" i="11" s="1"/>
  <c r="AJ49" i="11" s="1"/>
  <c r="AJ50" i="11" s="1"/>
  <c r="AJ51" i="11" s="1"/>
  <c r="AK45" i="11"/>
  <c r="AL45" i="11"/>
  <c r="AL46" i="11" s="1"/>
  <c r="AL47" i="11" s="1"/>
  <c r="AL48" i="11" s="1"/>
  <c r="AL49" i="11" s="1"/>
  <c r="AL50" i="11" s="1"/>
  <c r="AL51" i="11" s="1"/>
  <c r="AM45" i="11"/>
  <c r="AM46" i="11" s="1"/>
  <c r="AM47" i="11" s="1"/>
  <c r="AM48" i="11" s="1"/>
  <c r="AM49" i="11" s="1"/>
  <c r="AM50" i="11" s="1"/>
  <c r="AM51" i="11" s="1"/>
  <c r="AN45" i="11"/>
  <c r="AN46" i="11" s="1"/>
  <c r="AN47" i="11" s="1"/>
  <c r="AN48" i="11" s="1"/>
  <c r="AN49" i="11" s="1"/>
  <c r="AN50" i="11" s="1"/>
  <c r="AN51" i="11" s="1"/>
  <c r="AO45" i="11"/>
  <c r="AO46" i="11" s="1"/>
  <c r="AO47" i="11" s="1"/>
  <c r="AO48" i="11" s="1"/>
  <c r="AO49" i="11" s="1"/>
  <c r="AO50" i="11" s="1"/>
  <c r="AO51" i="11" s="1"/>
  <c r="AP45" i="11"/>
  <c r="AP46" i="11" s="1"/>
  <c r="AP47" i="11" s="1"/>
  <c r="AP48" i="11" s="1"/>
  <c r="AP49" i="11" s="1"/>
  <c r="AP50" i="11" s="1"/>
  <c r="AP51" i="11" s="1"/>
  <c r="AQ45" i="11"/>
  <c r="AQ46" i="11" s="1"/>
  <c r="AQ47" i="11" s="1"/>
  <c r="AQ48" i="11" s="1"/>
  <c r="AQ49" i="11" s="1"/>
  <c r="AQ50" i="11" s="1"/>
  <c r="AQ51" i="11" s="1"/>
  <c r="AR45" i="11"/>
  <c r="AR46" i="11" s="1"/>
  <c r="AR47" i="11" s="1"/>
  <c r="AR48" i="11" s="1"/>
  <c r="AR49" i="11" s="1"/>
  <c r="AR50" i="11" s="1"/>
  <c r="AR51" i="11" s="1"/>
  <c r="AS45" i="11"/>
  <c r="AS46" i="11" s="1"/>
  <c r="AS47" i="11" s="1"/>
  <c r="AS48" i="11" s="1"/>
  <c r="AS49" i="11" s="1"/>
  <c r="AS50" i="11" s="1"/>
  <c r="AS51" i="11" s="1"/>
  <c r="AT45" i="11"/>
  <c r="AT46" i="11" s="1"/>
  <c r="AT47" i="11" s="1"/>
  <c r="AT48" i="11" s="1"/>
  <c r="AT49" i="11" s="1"/>
  <c r="AT50" i="11" s="1"/>
  <c r="AT51" i="11" s="1"/>
  <c r="AU45" i="11"/>
  <c r="AU46" i="11" s="1"/>
  <c r="AU47" i="11" s="1"/>
  <c r="AU48" i="11" s="1"/>
  <c r="AU49" i="11" s="1"/>
  <c r="AU50" i="11" s="1"/>
  <c r="AU51" i="11" s="1"/>
  <c r="AV45" i="11"/>
  <c r="AV46" i="11" s="1"/>
  <c r="AV47" i="11" s="1"/>
  <c r="AV48" i="11" s="1"/>
  <c r="AV49" i="11" s="1"/>
  <c r="AV50" i="11" s="1"/>
  <c r="AV51" i="11" s="1"/>
  <c r="AW45" i="11"/>
  <c r="AW46" i="11" s="1"/>
  <c r="AW47" i="11" s="1"/>
  <c r="AW48" i="11" s="1"/>
  <c r="AW49" i="11" s="1"/>
  <c r="AW50" i="11" s="1"/>
  <c r="AW51" i="11" s="1"/>
  <c r="AK46" i="11"/>
  <c r="AK47" i="11" s="1"/>
  <c r="AK48" i="11" s="1"/>
  <c r="AK49" i="11" s="1"/>
  <c r="AK50" i="11" s="1"/>
  <c r="AK51" i="11" s="1"/>
  <c r="AF45" i="11"/>
  <c r="AF46" i="11" s="1"/>
  <c r="AF47" i="11" s="1"/>
  <c r="AF48" i="11" s="1"/>
  <c r="AF49" i="11" s="1"/>
  <c r="AF50" i="11" s="1"/>
  <c r="AF51" i="11" s="1"/>
  <c r="AG40" i="11"/>
  <c r="AG41" i="11" s="1"/>
  <c r="AG42" i="11" s="1"/>
  <c r="AG43" i="11" s="1"/>
  <c r="AH40" i="11"/>
  <c r="AH41" i="11" s="1"/>
  <c r="AH42" i="11" s="1"/>
  <c r="AH43" i="11" s="1"/>
  <c r="AI40" i="11"/>
  <c r="AI41" i="11" s="1"/>
  <c r="AI42" i="11" s="1"/>
  <c r="AI43" i="11" s="1"/>
  <c r="AJ40" i="11"/>
  <c r="AJ41" i="11" s="1"/>
  <c r="AJ42" i="11" s="1"/>
  <c r="AJ43" i="11" s="1"/>
  <c r="AK40" i="11"/>
  <c r="AK41" i="11" s="1"/>
  <c r="AK42" i="11" s="1"/>
  <c r="AK43" i="11" s="1"/>
  <c r="AL40" i="11"/>
  <c r="AL41" i="11" s="1"/>
  <c r="AL42" i="11" s="1"/>
  <c r="AL43" i="11" s="1"/>
  <c r="AM40" i="11"/>
  <c r="AM41" i="11" s="1"/>
  <c r="AM42" i="11" s="1"/>
  <c r="AM43" i="11" s="1"/>
  <c r="AN40" i="11"/>
  <c r="AN41" i="11" s="1"/>
  <c r="AN42" i="11" s="1"/>
  <c r="AN43" i="11" s="1"/>
  <c r="AO40" i="11"/>
  <c r="AO41" i="11" s="1"/>
  <c r="AO42" i="11" s="1"/>
  <c r="AO43" i="11" s="1"/>
  <c r="AP40" i="11"/>
  <c r="AP41" i="11" s="1"/>
  <c r="AP42" i="11" s="1"/>
  <c r="AP43" i="11" s="1"/>
  <c r="AQ40" i="11"/>
  <c r="AQ41" i="11" s="1"/>
  <c r="AQ42" i="11" s="1"/>
  <c r="AQ43" i="11" s="1"/>
  <c r="AR40" i="11"/>
  <c r="AR41" i="11" s="1"/>
  <c r="AR42" i="11" s="1"/>
  <c r="AR43" i="11" s="1"/>
  <c r="AS40" i="11"/>
  <c r="AS41" i="11" s="1"/>
  <c r="AS42" i="11" s="1"/>
  <c r="AS43" i="11" s="1"/>
  <c r="AT40" i="11"/>
  <c r="AT41" i="11" s="1"/>
  <c r="AT42" i="11" s="1"/>
  <c r="AT43" i="11" s="1"/>
  <c r="AU40" i="11"/>
  <c r="AU41" i="11" s="1"/>
  <c r="AU42" i="11" s="1"/>
  <c r="AU43" i="11" s="1"/>
  <c r="AV40" i="11"/>
  <c r="AV41" i="11" s="1"/>
  <c r="AV42" i="11" s="1"/>
  <c r="AV43" i="11" s="1"/>
  <c r="AW40" i="11"/>
  <c r="AW41" i="11" s="1"/>
  <c r="AW42" i="11" s="1"/>
  <c r="AW43" i="11" s="1"/>
  <c r="AF40" i="11"/>
  <c r="AF41" i="11" s="1"/>
  <c r="AF42" i="11" s="1"/>
  <c r="AF43" i="11" s="1"/>
  <c r="AG35" i="11"/>
  <c r="AG36" i="11" s="1"/>
  <c r="AG37" i="11" s="1"/>
  <c r="AG38" i="11" s="1"/>
  <c r="AH35" i="11"/>
  <c r="AH36" i="11" s="1"/>
  <c r="AH37" i="11" s="1"/>
  <c r="AH38" i="11" s="1"/>
  <c r="AI35" i="11"/>
  <c r="AI36" i="11" s="1"/>
  <c r="AI37" i="11" s="1"/>
  <c r="AI38" i="11" s="1"/>
  <c r="AJ35" i="11"/>
  <c r="AJ36" i="11" s="1"/>
  <c r="AJ37" i="11" s="1"/>
  <c r="AJ38" i="11" s="1"/>
  <c r="AK35" i="11"/>
  <c r="AK36" i="11" s="1"/>
  <c r="AK37" i="11" s="1"/>
  <c r="AK38" i="11" s="1"/>
  <c r="AL35" i="11"/>
  <c r="AL36" i="11" s="1"/>
  <c r="AL37" i="11" s="1"/>
  <c r="AL38" i="11" s="1"/>
  <c r="AM35" i="11"/>
  <c r="AM36" i="11" s="1"/>
  <c r="AM37" i="11" s="1"/>
  <c r="AM38" i="11" s="1"/>
  <c r="AN35" i="11"/>
  <c r="AN36" i="11" s="1"/>
  <c r="AN37" i="11" s="1"/>
  <c r="AN38" i="11" s="1"/>
  <c r="AO35" i="11"/>
  <c r="AO36" i="11" s="1"/>
  <c r="AO37" i="11" s="1"/>
  <c r="AO38" i="11" s="1"/>
  <c r="AP35" i="11"/>
  <c r="AP36" i="11" s="1"/>
  <c r="AP37" i="11" s="1"/>
  <c r="AP38" i="11" s="1"/>
  <c r="AQ35" i="11"/>
  <c r="AQ36" i="11" s="1"/>
  <c r="AQ37" i="11" s="1"/>
  <c r="AQ38" i="11" s="1"/>
  <c r="AR35" i="11"/>
  <c r="AR36" i="11" s="1"/>
  <c r="AR37" i="11" s="1"/>
  <c r="AR38" i="11" s="1"/>
  <c r="AS35" i="11"/>
  <c r="AS36" i="11" s="1"/>
  <c r="AS37" i="11" s="1"/>
  <c r="AS38" i="11" s="1"/>
  <c r="AT35" i="11"/>
  <c r="AT36" i="11" s="1"/>
  <c r="AT37" i="11" s="1"/>
  <c r="AT38" i="11" s="1"/>
  <c r="AU35" i="11"/>
  <c r="AU36" i="11" s="1"/>
  <c r="AU37" i="11" s="1"/>
  <c r="AU38" i="11" s="1"/>
  <c r="AV35" i="11"/>
  <c r="AV36" i="11" s="1"/>
  <c r="AV37" i="11" s="1"/>
  <c r="AV38" i="11" s="1"/>
  <c r="AW35" i="11"/>
  <c r="AW36" i="11" s="1"/>
  <c r="AW37" i="11" s="1"/>
  <c r="AW38" i="11" s="1"/>
  <c r="AF35" i="11"/>
  <c r="AF36" i="11" s="1"/>
  <c r="AF37" i="11" s="1"/>
  <c r="AF38" i="11" s="1"/>
  <c r="AG26" i="11"/>
  <c r="AG27" i="11" s="1"/>
  <c r="AG28" i="11" s="1"/>
  <c r="AG29" i="11" s="1"/>
  <c r="AG30" i="11" s="1"/>
  <c r="AG31" i="11" s="1"/>
  <c r="AG32" i="11" s="1"/>
  <c r="AG33" i="11" s="1"/>
  <c r="AH26" i="11"/>
  <c r="AH27" i="11" s="1"/>
  <c r="AH28" i="11" s="1"/>
  <c r="AH29" i="11" s="1"/>
  <c r="AH30" i="11" s="1"/>
  <c r="AH31" i="11" s="1"/>
  <c r="AH32" i="11" s="1"/>
  <c r="AH33" i="11" s="1"/>
  <c r="AI26" i="11"/>
  <c r="AI27" i="11" s="1"/>
  <c r="AI28" i="11" s="1"/>
  <c r="AI29" i="11" s="1"/>
  <c r="AI30" i="11" s="1"/>
  <c r="AI31" i="11" s="1"/>
  <c r="AI32" i="11" s="1"/>
  <c r="AI33" i="11" s="1"/>
  <c r="AJ26" i="11"/>
  <c r="AJ27" i="11" s="1"/>
  <c r="AJ28" i="11" s="1"/>
  <c r="AJ29" i="11" s="1"/>
  <c r="AJ30" i="11" s="1"/>
  <c r="AJ31" i="11" s="1"/>
  <c r="AJ32" i="11" s="1"/>
  <c r="AJ33" i="11" s="1"/>
  <c r="AK26" i="11"/>
  <c r="AK27" i="11" s="1"/>
  <c r="AK28" i="11" s="1"/>
  <c r="AK29" i="11" s="1"/>
  <c r="AK30" i="11" s="1"/>
  <c r="AK31" i="11" s="1"/>
  <c r="AK32" i="11" s="1"/>
  <c r="AK33" i="11" s="1"/>
  <c r="AL26" i="11"/>
  <c r="AL27" i="11" s="1"/>
  <c r="AL28" i="11" s="1"/>
  <c r="AL29" i="11" s="1"/>
  <c r="AL30" i="11" s="1"/>
  <c r="AL31" i="11" s="1"/>
  <c r="AL32" i="11" s="1"/>
  <c r="AL33" i="11" s="1"/>
  <c r="AM26" i="11"/>
  <c r="AM27" i="11" s="1"/>
  <c r="AM28" i="11" s="1"/>
  <c r="AM29" i="11" s="1"/>
  <c r="AM30" i="11" s="1"/>
  <c r="AM31" i="11" s="1"/>
  <c r="AM32" i="11" s="1"/>
  <c r="AM33" i="11" s="1"/>
  <c r="AN26" i="11"/>
  <c r="AN27" i="11" s="1"/>
  <c r="AN28" i="11" s="1"/>
  <c r="AN29" i="11" s="1"/>
  <c r="AN30" i="11" s="1"/>
  <c r="AN31" i="11" s="1"/>
  <c r="AN32" i="11" s="1"/>
  <c r="AN33" i="11" s="1"/>
  <c r="AO26" i="11"/>
  <c r="AO27" i="11" s="1"/>
  <c r="AO28" i="11" s="1"/>
  <c r="AO29" i="11" s="1"/>
  <c r="AO30" i="11" s="1"/>
  <c r="AO31" i="11" s="1"/>
  <c r="AO32" i="11" s="1"/>
  <c r="AO33" i="11" s="1"/>
  <c r="AP26" i="11"/>
  <c r="AP27" i="11" s="1"/>
  <c r="AP28" i="11" s="1"/>
  <c r="AP29" i="11" s="1"/>
  <c r="AP30" i="11" s="1"/>
  <c r="AP31" i="11" s="1"/>
  <c r="AP32" i="11" s="1"/>
  <c r="AP33" i="11" s="1"/>
  <c r="AQ26" i="11"/>
  <c r="AQ27" i="11" s="1"/>
  <c r="AQ28" i="11" s="1"/>
  <c r="AQ29" i="11" s="1"/>
  <c r="AQ30" i="11" s="1"/>
  <c r="AQ31" i="11" s="1"/>
  <c r="AQ32" i="11" s="1"/>
  <c r="AQ33" i="11" s="1"/>
  <c r="AR26" i="11"/>
  <c r="AR27" i="11" s="1"/>
  <c r="AR28" i="11" s="1"/>
  <c r="AR29" i="11" s="1"/>
  <c r="AR30" i="11" s="1"/>
  <c r="AR31" i="11" s="1"/>
  <c r="AR32" i="11" s="1"/>
  <c r="AR33" i="11" s="1"/>
  <c r="AS26" i="11"/>
  <c r="AS27" i="11" s="1"/>
  <c r="AS28" i="11" s="1"/>
  <c r="AS29" i="11" s="1"/>
  <c r="AS30" i="11" s="1"/>
  <c r="AS31" i="11" s="1"/>
  <c r="AS32" i="11" s="1"/>
  <c r="AS33" i="11" s="1"/>
  <c r="AT26" i="11"/>
  <c r="AT27" i="11" s="1"/>
  <c r="AT28" i="11" s="1"/>
  <c r="AT29" i="11" s="1"/>
  <c r="AT30" i="11" s="1"/>
  <c r="AT31" i="11" s="1"/>
  <c r="AT32" i="11" s="1"/>
  <c r="AT33" i="11" s="1"/>
  <c r="AU26" i="11"/>
  <c r="AU27" i="11" s="1"/>
  <c r="AU28" i="11" s="1"/>
  <c r="AU29" i="11" s="1"/>
  <c r="AU30" i="11" s="1"/>
  <c r="AU31" i="11" s="1"/>
  <c r="AU32" i="11" s="1"/>
  <c r="AU33" i="11" s="1"/>
  <c r="AV26" i="11"/>
  <c r="AV27" i="11" s="1"/>
  <c r="AV28" i="11" s="1"/>
  <c r="AV29" i="11" s="1"/>
  <c r="AV30" i="11" s="1"/>
  <c r="AV31" i="11" s="1"/>
  <c r="AV32" i="11" s="1"/>
  <c r="AV33" i="11" s="1"/>
  <c r="AW26" i="11"/>
  <c r="AW27" i="11" s="1"/>
  <c r="AW28" i="11" s="1"/>
  <c r="AW29" i="11" s="1"/>
  <c r="AW30" i="11" s="1"/>
  <c r="AW31" i="11" s="1"/>
  <c r="AW32" i="11" s="1"/>
  <c r="AW33" i="11" s="1"/>
  <c r="AF26" i="11"/>
  <c r="AF27" i="11" s="1"/>
  <c r="AF28" i="11" s="1"/>
  <c r="AF29" i="11" s="1"/>
  <c r="AF30" i="11" s="1"/>
  <c r="AF31" i="11" s="1"/>
  <c r="AF32" i="11" s="1"/>
  <c r="AF33" i="11" s="1"/>
  <c r="AG21" i="11"/>
  <c r="AG22" i="11" s="1"/>
  <c r="AG23" i="11" s="1"/>
  <c r="AG24" i="11" s="1"/>
  <c r="AH21" i="11"/>
  <c r="AH22" i="11" s="1"/>
  <c r="AH23" i="11" s="1"/>
  <c r="AH24" i="11" s="1"/>
  <c r="AI21" i="11"/>
  <c r="AI22" i="11" s="1"/>
  <c r="AI23" i="11" s="1"/>
  <c r="AI24" i="11" s="1"/>
  <c r="AJ21" i="11"/>
  <c r="AJ22" i="11" s="1"/>
  <c r="AJ23" i="11" s="1"/>
  <c r="AJ24" i="11" s="1"/>
  <c r="AK21" i="11"/>
  <c r="AK22" i="11" s="1"/>
  <c r="AK23" i="11" s="1"/>
  <c r="AK24" i="11" s="1"/>
  <c r="AL21" i="11"/>
  <c r="AL22" i="11" s="1"/>
  <c r="AL23" i="11" s="1"/>
  <c r="AL24" i="11" s="1"/>
  <c r="AM21" i="11"/>
  <c r="AM22" i="11" s="1"/>
  <c r="AM23" i="11" s="1"/>
  <c r="AM24" i="11" s="1"/>
  <c r="AN21" i="11"/>
  <c r="AN22" i="11" s="1"/>
  <c r="AN23" i="11" s="1"/>
  <c r="AN24" i="11" s="1"/>
  <c r="AO21" i="11"/>
  <c r="AO22" i="11" s="1"/>
  <c r="AO23" i="11" s="1"/>
  <c r="AO24" i="11" s="1"/>
  <c r="AP21" i="11"/>
  <c r="AP22" i="11" s="1"/>
  <c r="AP23" i="11" s="1"/>
  <c r="AP24" i="11" s="1"/>
  <c r="AQ21" i="11"/>
  <c r="AQ22" i="11" s="1"/>
  <c r="AQ23" i="11" s="1"/>
  <c r="AQ24" i="11" s="1"/>
  <c r="AR21" i="11"/>
  <c r="AR22" i="11" s="1"/>
  <c r="AR23" i="11" s="1"/>
  <c r="AR24" i="11" s="1"/>
  <c r="AS21" i="11"/>
  <c r="AS22" i="11" s="1"/>
  <c r="AS23" i="11" s="1"/>
  <c r="AS24" i="11" s="1"/>
  <c r="AT21" i="11"/>
  <c r="AT22" i="11" s="1"/>
  <c r="AT23" i="11" s="1"/>
  <c r="AT24" i="11" s="1"/>
  <c r="AU21" i="11"/>
  <c r="AU22" i="11" s="1"/>
  <c r="AU23" i="11" s="1"/>
  <c r="AU24" i="11" s="1"/>
  <c r="AV21" i="11"/>
  <c r="AV22" i="11" s="1"/>
  <c r="AV23" i="11" s="1"/>
  <c r="AV24" i="11" s="1"/>
  <c r="AW21" i="11"/>
  <c r="AW22" i="11" s="1"/>
  <c r="AW23" i="11" s="1"/>
  <c r="AW24" i="11" s="1"/>
  <c r="AG18" i="11"/>
  <c r="AG19" i="11" s="1"/>
  <c r="AH18" i="11"/>
  <c r="AH19" i="11" s="1"/>
  <c r="AI18" i="11"/>
  <c r="AI19" i="11" s="1"/>
  <c r="AJ18" i="11"/>
  <c r="AJ19" i="11" s="1"/>
  <c r="AK18" i="11"/>
  <c r="AK19" i="11" s="1"/>
  <c r="AL18" i="11"/>
  <c r="AL19" i="11" s="1"/>
  <c r="AM18" i="11"/>
  <c r="AM19" i="11" s="1"/>
  <c r="AN18" i="11"/>
  <c r="AN19" i="11" s="1"/>
  <c r="AO18" i="11"/>
  <c r="AO19" i="11" s="1"/>
  <c r="AP18" i="11"/>
  <c r="AP19" i="11" s="1"/>
  <c r="AQ18" i="11"/>
  <c r="AQ19" i="11" s="1"/>
  <c r="AR18" i="11"/>
  <c r="AR19" i="11" s="1"/>
  <c r="AS18" i="11"/>
  <c r="AS19" i="11" s="1"/>
  <c r="AT18" i="11"/>
  <c r="AT19" i="11" s="1"/>
  <c r="AU18" i="11"/>
  <c r="AU19" i="11" s="1"/>
  <c r="AV18" i="11"/>
  <c r="AV19" i="11" s="1"/>
  <c r="AW18" i="11"/>
  <c r="AW19" i="11" s="1"/>
  <c r="D94" i="4"/>
  <c r="D112" i="4"/>
  <c r="J29" i="9"/>
  <c r="H28" i="9"/>
  <c r="D165" i="4"/>
  <c r="D166" i="4"/>
  <c r="D167" i="4"/>
  <c r="D168" i="4"/>
  <c r="D164" i="4"/>
  <c r="D156" i="4"/>
  <c r="D157" i="4"/>
  <c r="D158" i="4"/>
  <c r="D159" i="4"/>
  <c r="D155" i="4"/>
  <c r="D147" i="4"/>
  <c r="D148" i="4"/>
  <c r="D149" i="4"/>
  <c r="D150" i="4"/>
  <c r="D146" i="4"/>
  <c r="D137" i="4"/>
  <c r="D138" i="4"/>
  <c r="D139" i="4"/>
  <c r="D140" i="4"/>
  <c r="D136" i="4"/>
  <c r="D128" i="4"/>
  <c r="D129" i="4"/>
  <c r="D130" i="4"/>
  <c r="D131" i="4"/>
  <c r="D127" i="4"/>
  <c r="D119" i="4"/>
  <c r="D120" i="4"/>
  <c r="D121" i="4"/>
  <c r="D122" i="4"/>
  <c r="D118" i="4"/>
  <c r="D109" i="4"/>
  <c r="D110" i="4"/>
  <c r="D111" i="4"/>
  <c r="D108" i="4"/>
  <c r="D100" i="4"/>
  <c r="D101" i="4"/>
  <c r="D102" i="4"/>
  <c r="D103" i="4"/>
  <c r="D99" i="4"/>
  <c r="D91" i="4"/>
  <c r="D92" i="4"/>
  <c r="D93" i="4"/>
  <c r="D90" i="4"/>
  <c r="D81" i="4"/>
  <c r="D82" i="4"/>
  <c r="D83" i="4"/>
  <c r="D84" i="4"/>
  <c r="D80" i="4"/>
  <c r="D72" i="4"/>
  <c r="D73" i="4"/>
  <c r="D74" i="4"/>
  <c r="D75" i="4"/>
  <c r="D71" i="4"/>
  <c r="D63" i="4"/>
  <c r="D64" i="4"/>
  <c r="D65" i="4"/>
  <c r="D66" i="4"/>
  <c r="D62" i="4"/>
  <c r="D54" i="4"/>
  <c r="D55" i="4"/>
  <c r="D56" i="4"/>
  <c r="D57" i="4"/>
  <c r="D53" i="4"/>
  <c r="D36" i="4"/>
  <c r="D37" i="4"/>
  <c r="D38" i="4"/>
  <c r="D39" i="4"/>
  <c r="D35" i="4"/>
  <c r="D45" i="4"/>
  <c r="D46" i="4"/>
  <c r="D47" i="4"/>
  <c r="D48" i="4"/>
  <c r="D44" i="4"/>
  <c r="C81" i="4"/>
  <c r="C82" i="4"/>
  <c r="C83" i="4"/>
  <c r="C84" i="4"/>
  <c r="C80" i="4"/>
  <c r="C72" i="4"/>
  <c r="C73" i="4"/>
  <c r="C74" i="4"/>
  <c r="C75" i="4"/>
  <c r="C71" i="4"/>
  <c r="C63" i="4"/>
  <c r="C64" i="4"/>
  <c r="C65" i="4"/>
  <c r="C66" i="4"/>
  <c r="C62" i="4"/>
  <c r="C54" i="4"/>
  <c r="C55" i="4"/>
  <c r="C56" i="4"/>
  <c r="C57" i="4"/>
  <c r="C53" i="4"/>
  <c r="C45" i="4"/>
  <c r="C46" i="4"/>
  <c r="C47" i="4"/>
  <c r="C48" i="4"/>
  <c r="C44" i="4"/>
  <c r="C36" i="4"/>
  <c r="C37" i="4"/>
  <c r="C38" i="4"/>
  <c r="C39" i="4"/>
  <c r="C35" i="4"/>
  <c r="R6" i="5" l="1"/>
  <c r="J34" i="9"/>
  <c r="B4" i="8" l="1"/>
  <c r="B3" i="8"/>
  <c r="E27" i="1"/>
  <c r="B4" i="1"/>
  <c r="E26" i="1"/>
  <c r="B8" i="1"/>
  <c r="B7" i="8" l="1"/>
  <c r="B9" i="8" s="1"/>
  <c r="B6" i="8"/>
  <c r="B12" i="8" l="1"/>
  <c r="B13" i="8" s="1"/>
  <c r="J35" i="9" l="1"/>
  <c r="B21" i="1" s="1"/>
  <c r="B23" i="1" s="1"/>
  <c r="H27" i="1"/>
  <c r="H25" i="1"/>
  <c r="F5" i="5"/>
  <c r="AS51" i="1" s="1"/>
  <c r="B7" i="1"/>
  <c r="B9" i="1"/>
  <c r="B5" i="1"/>
  <c r="D47" i="1" l="1"/>
  <c r="D50" i="1" s="1"/>
  <c r="D51" i="1" s="1"/>
  <c r="J21" i="9" s="1"/>
  <c r="D31" i="1"/>
  <c r="D37" i="1" s="1"/>
  <c r="J19" i="9" s="1"/>
  <c r="J37" i="9"/>
  <c r="AH62" i="1"/>
  <c r="AA6" i="1"/>
  <c r="J13" i="9" s="1"/>
  <c r="E14" i="9"/>
  <c r="D28" i="9" s="1"/>
  <c r="B63" i="1"/>
  <c r="H64" i="1" s="1"/>
  <c r="E16" i="9"/>
  <c r="AH61" i="1"/>
  <c r="O6" i="5"/>
  <c r="AA10" i="1"/>
  <c r="AA22" i="1"/>
  <c r="AA34" i="1"/>
  <c r="AD10" i="1"/>
  <c r="AD22" i="1"/>
  <c r="AD34" i="1"/>
  <c r="AA11" i="1"/>
  <c r="AA23" i="1"/>
  <c r="AA35" i="1"/>
  <c r="AD11" i="1"/>
  <c r="AD23" i="1"/>
  <c r="AD35" i="1"/>
  <c r="AA27" i="1"/>
  <c r="AD27" i="1"/>
  <c r="AA16" i="1"/>
  <c r="AA40" i="1"/>
  <c r="AD16" i="1"/>
  <c r="AA29" i="1"/>
  <c r="AD17" i="1"/>
  <c r="AA32" i="1"/>
  <c r="AA33" i="1"/>
  <c r="AD9" i="1"/>
  <c r="AA12" i="1"/>
  <c r="AA24" i="1"/>
  <c r="AA36" i="1"/>
  <c r="AD12" i="1"/>
  <c r="AD24" i="1"/>
  <c r="AD36" i="1"/>
  <c r="AA14" i="1"/>
  <c r="AA38" i="1"/>
  <c r="AD14" i="1"/>
  <c r="AD38" i="1"/>
  <c r="AA15" i="1"/>
  <c r="AD39" i="1"/>
  <c r="AA28" i="1"/>
  <c r="AD28" i="1"/>
  <c r="AA17" i="1"/>
  <c r="AA41" i="1"/>
  <c r="AD29" i="1"/>
  <c r="AA20" i="1"/>
  <c r="AD8" i="1"/>
  <c r="AA21" i="1"/>
  <c r="AA13" i="1"/>
  <c r="AA25" i="1"/>
  <c r="AA37" i="1"/>
  <c r="AD13" i="1"/>
  <c r="AD25" i="1"/>
  <c r="AD37" i="1"/>
  <c r="AA26" i="1"/>
  <c r="AD26" i="1"/>
  <c r="AA39" i="1"/>
  <c r="AD15" i="1"/>
  <c r="AD40" i="1"/>
  <c r="AD41" i="1"/>
  <c r="AD32" i="1"/>
  <c r="AA9" i="1"/>
  <c r="AD33" i="1"/>
  <c r="AA18" i="1"/>
  <c r="AA30" i="1"/>
  <c r="AD18" i="1"/>
  <c r="AD30" i="1"/>
  <c r="AD6" i="1"/>
  <c r="AA7" i="1"/>
  <c r="AA19" i="1"/>
  <c r="AA31" i="1"/>
  <c r="AD7" i="1"/>
  <c r="AD19" i="1"/>
  <c r="AD31" i="1"/>
  <c r="AA8" i="1"/>
  <c r="AD20" i="1"/>
  <c r="AD21" i="1"/>
  <c r="AH63" i="1" l="1"/>
  <c r="AH64" i="1" s="1"/>
  <c r="P40" i="9" s="1"/>
  <c r="N10" i="5"/>
  <c r="N27" i="5"/>
  <c r="N31" i="5"/>
  <c r="N32" i="5"/>
  <c r="N37" i="5"/>
  <c r="N38" i="5"/>
  <c r="N39" i="5"/>
  <c r="N42" i="5"/>
  <c r="N43" i="5"/>
  <c r="N44" i="5"/>
  <c r="N49" i="5"/>
  <c r="N50" i="5"/>
  <c r="N30" i="5"/>
  <c r="N15" i="5"/>
  <c r="N47" i="5"/>
  <c r="N46" i="5"/>
  <c r="N41" i="5"/>
  <c r="N35" i="5"/>
  <c r="N22" i="5"/>
  <c r="N26" i="5"/>
  <c r="N14" i="5"/>
  <c r="N29" i="5"/>
  <c r="N23" i="5"/>
  <c r="N45" i="5"/>
  <c r="N17" i="5"/>
  <c r="N48" i="5"/>
  <c r="N11" i="5"/>
  <c r="N33" i="5"/>
  <c r="N25" i="5"/>
  <c r="N36" i="5"/>
  <c r="N21" i="5"/>
  <c r="N16" i="5"/>
  <c r="N24" i="5"/>
  <c r="N34" i="5"/>
  <c r="N28" i="5"/>
  <c r="N20" i="5"/>
  <c r="N12" i="5"/>
  <c r="N40" i="5"/>
  <c r="N19" i="5"/>
  <c r="N18" i="5"/>
  <c r="N13" i="5"/>
  <c r="T6" i="5"/>
  <c r="D27" i="9"/>
  <c r="S6" i="5"/>
  <c r="U6" i="5"/>
  <c r="J14" i="9"/>
  <c r="J39" i="9" s="1"/>
  <c r="B20" i="1" s="1"/>
  <c r="W6" i="1"/>
  <c r="P43" i="5" l="1"/>
  <c r="P14" i="5"/>
  <c r="P25" i="5"/>
  <c r="P23" i="5"/>
  <c r="P33" i="5"/>
  <c r="P30" i="5"/>
  <c r="P15" i="5"/>
  <c r="P11" i="5"/>
  <c r="P21" i="5"/>
  <c r="P44" i="5"/>
  <c r="P24" i="5"/>
  <c r="P42" i="5"/>
  <c r="P18" i="5"/>
  <c r="P37" i="5"/>
  <c r="P20" i="5"/>
  <c r="P41" i="5"/>
  <c r="P26" i="5"/>
  <c r="P47" i="5"/>
  <c r="P10" i="5"/>
  <c r="P17" i="5"/>
  <c r="P49" i="5"/>
  <c r="P46" i="5"/>
  <c r="P40" i="5"/>
  <c r="P28" i="5"/>
  <c r="P13" i="5"/>
  <c r="P29" i="5"/>
  <c r="P39" i="5"/>
  <c r="P36" i="5"/>
  <c r="P19" i="5"/>
  <c r="P34" i="5"/>
  <c r="P50" i="5"/>
  <c r="P31" i="5"/>
  <c r="P48" i="5"/>
  <c r="P22" i="5"/>
  <c r="P16" i="5"/>
  <c r="P38" i="5"/>
  <c r="P32" i="5"/>
  <c r="P12" i="5"/>
  <c r="P35" i="5"/>
  <c r="P45" i="5"/>
  <c r="P27" i="5"/>
  <c r="O11" i="5"/>
  <c r="O23" i="5"/>
  <c r="O35" i="5"/>
  <c r="O47" i="5"/>
  <c r="O45" i="5"/>
  <c r="O12" i="5"/>
  <c r="O24" i="5"/>
  <c r="O36" i="5"/>
  <c r="O48" i="5"/>
  <c r="O13" i="5"/>
  <c r="O25" i="5"/>
  <c r="O37" i="5"/>
  <c r="O49" i="5"/>
  <c r="O14" i="5"/>
  <c r="O26" i="5"/>
  <c r="O38" i="5"/>
  <c r="O50" i="5"/>
  <c r="O21" i="5"/>
  <c r="O15" i="5"/>
  <c r="O27" i="5"/>
  <c r="O39" i="5"/>
  <c r="O10" i="5"/>
  <c r="O16" i="5"/>
  <c r="O28" i="5"/>
  <c r="O40" i="5"/>
  <c r="O17" i="5"/>
  <c r="O29" i="5"/>
  <c r="O41" i="5"/>
  <c r="O18" i="5"/>
  <c r="O30" i="5"/>
  <c r="O42" i="5"/>
  <c r="O19" i="5"/>
  <c r="O31" i="5"/>
  <c r="O43" i="5"/>
  <c r="O20" i="5"/>
  <c r="O32" i="5"/>
  <c r="O44" i="5"/>
  <c r="O22" i="5"/>
  <c r="O34" i="5"/>
  <c r="O46" i="5"/>
  <c r="O33" i="5"/>
  <c r="V6" i="5"/>
  <c r="AF6" i="1"/>
  <c r="W7" i="1"/>
  <c r="W8" i="1" s="1"/>
  <c r="AM6" i="1"/>
  <c r="AG6" i="1" l="1"/>
  <c r="AW6" i="1"/>
  <c r="AG8" i="1"/>
  <c r="AF7" i="1"/>
  <c r="AW7" i="1" s="1"/>
  <c r="AF8" i="1"/>
  <c r="AW8" i="1" s="1"/>
  <c r="AG7" i="1"/>
  <c r="Q11" i="5"/>
  <c r="Q17" i="5"/>
  <c r="Q23" i="5"/>
  <c r="Q29" i="5"/>
  <c r="Q35" i="5"/>
  <c r="Q41" i="5"/>
  <c r="Q47" i="5"/>
  <c r="Q12" i="5"/>
  <c r="Q18" i="5"/>
  <c r="Q24" i="5"/>
  <c r="Q30" i="5"/>
  <c r="Q36" i="5"/>
  <c r="Q42" i="5"/>
  <c r="Q48" i="5"/>
  <c r="Q13" i="5"/>
  <c r="Q19" i="5"/>
  <c r="Q25" i="5"/>
  <c r="Q31" i="5"/>
  <c r="Q37" i="5"/>
  <c r="Q43" i="5"/>
  <c r="Q49" i="5"/>
  <c r="Q14" i="5"/>
  <c r="Q20" i="5"/>
  <c r="Q26" i="5"/>
  <c r="Q32" i="5"/>
  <c r="Q38" i="5"/>
  <c r="Q44" i="5"/>
  <c r="Q50" i="5"/>
  <c r="Q10" i="5"/>
  <c r="Q15" i="5"/>
  <c r="Q21" i="5"/>
  <c r="Q27" i="5"/>
  <c r="Q33" i="5"/>
  <c r="Q39" i="5"/>
  <c r="Q45" i="5"/>
  <c r="Q16" i="5"/>
  <c r="Q22" i="5"/>
  <c r="Q28" i="5"/>
  <c r="Q34" i="5"/>
  <c r="Q40" i="5"/>
  <c r="Q46" i="5"/>
  <c r="AM7" i="1"/>
  <c r="W9" i="1"/>
  <c r="AF9" i="1" s="1"/>
  <c r="AW9" i="1" s="1"/>
  <c r="AM8" i="1"/>
  <c r="AI7" i="1" l="1"/>
  <c r="AI8" i="1"/>
  <c r="AI6" i="1"/>
  <c r="AI9" i="1"/>
  <c r="AH65" i="1"/>
  <c r="AH67" i="1" s="1"/>
  <c r="P45" i="9" s="1"/>
  <c r="AG9" i="1"/>
  <c r="W10" i="1"/>
  <c r="AI10" i="1" s="1"/>
  <c r="AM9" i="1"/>
  <c r="AF10" i="1" l="1"/>
  <c r="AW10" i="1" s="1"/>
  <c r="AG10" i="1"/>
  <c r="W11" i="1"/>
  <c r="AI11" i="1" s="1"/>
  <c r="AM10" i="1"/>
  <c r="AF11" i="1" l="1"/>
  <c r="AW11" i="1" s="1"/>
  <c r="AG11" i="1"/>
  <c r="AM11" i="1"/>
  <c r="W12" i="1"/>
  <c r="AI12" i="1" s="1"/>
  <c r="AG12" i="1" l="1"/>
  <c r="AF12" i="1"/>
  <c r="AW12" i="1" s="1"/>
  <c r="AM12" i="1"/>
  <c r="W13" i="1"/>
  <c r="AI13" i="1" s="1"/>
  <c r="AG13" i="1" l="1"/>
  <c r="AF13" i="1"/>
  <c r="AW13" i="1" s="1"/>
  <c r="AM13" i="1"/>
  <c r="W14" i="1"/>
  <c r="AI14" i="1" s="1"/>
  <c r="AF14" i="1" l="1"/>
  <c r="AW14" i="1" s="1"/>
  <c r="AG14" i="1"/>
  <c r="AM14" i="1"/>
  <c r="W15" i="1"/>
  <c r="AI15" i="1" s="1"/>
  <c r="AG15" i="1" l="1"/>
  <c r="AF15" i="1"/>
  <c r="AW15" i="1" s="1"/>
  <c r="AM15" i="1"/>
  <c r="W16" i="1"/>
  <c r="AI16" i="1" s="1"/>
  <c r="AF16" i="1" l="1"/>
  <c r="AW16" i="1" s="1"/>
  <c r="AG16" i="1"/>
  <c r="AM16" i="1"/>
  <c r="W17" i="1"/>
  <c r="AI17" i="1" s="1"/>
  <c r="AF17" i="1" l="1"/>
  <c r="AW17" i="1" s="1"/>
  <c r="AG17" i="1"/>
  <c r="AM17" i="1"/>
  <c r="W18" i="1"/>
  <c r="AI18" i="1" s="1"/>
  <c r="AG18" i="1" l="1"/>
  <c r="AF18" i="1"/>
  <c r="AW18" i="1" s="1"/>
  <c r="AM18" i="1"/>
  <c r="W19" i="1"/>
  <c r="AI19" i="1" s="1"/>
  <c r="AF19" i="1" l="1"/>
  <c r="AW19" i="1" s="1"/>
  <c r="AG19" i="1"/>
  <c r="AM19" i="1"/>
  <c r="W20" i="1"/>
  <c r="AI20" i="1" s="1"/>
  <c r="AG20" i="1" l="1"/>
  <c r="AF20" i="1"/>
  <c r="AW20" i="1" s="1"/>
  <c r="AM20" i="1"/>
  <c r="W21" i="1"/>
  <c r="AI21" i="1" s="1"/>
  <c r="AF21" i="1" l="1"/>
  <c r="AW21" i="1" s="1"/>
  <c r="AG21" i="1"/>
  <c r="AM21" i="1"/>
  <c r="W22" i="1"/>
  <c r="AI22" i="1" s="1"/>
  <c r="AF22" i="1" l="1"/>
  <c r="AW22" i="1" s="1"/>
  <c r="AG22" i="1"/>
  <c r="AM22" i="1"/>
  <c r="W23" i="1"/>
  <c r="AI23" i="1" s="1"/>
  <c r="AG23" i="1" l="1"/>
  <c r="AF23" i="1"/>
  <c r="AW23" i="1" s="1"/>
  <c r="AM23" i="1"/>
  <c r="W24" i="1"/>
  <c r="AI24" i="1" s="1"/>
  <c r="AF24" i="1" l="1"/>
  <c r="AW24" i="1" s="1"/>
  <c r="AG24" i="1"/>
  <c r="AM24" i="1"/>
  <c r="W25" i="1"/>
  <c r="AI25" i="1" s="1"/>
  <c r="AF25" i="1" l="1"/>
  <c r="AW25" i="1" s="1"/>
  <c r="AG25" i="1"/>
  <c r="AM25" i="1"/>
  <c r="W26" i="1"/>
  <c r="AI26" i="1" s="1"/>
  <c r="AG26" i="1" l="1"/>
  <c r="AF26" i="1"/>
  <c r="AW26" i="1" s="1"/>
  <c r="AM26" i="1"/>
  <c r="W27" i="1"/>
  <c r="AI27" i="1" s="1"/>
  <c r="AG27" i="1" l="1"/>
  <c r="AF27" i="1"/>
  <c r="AW27" i="1" s="1"/>
  <c r="AM27" i="1"/>
  <c r="W28" i="1"/>
  <c r="AI28" i="1" s="1"/>
  <c r="AF28" i="1" l="1"/>
  <c r="AW28" i="1" s="1"/>
  <c r="AG28" i="1"/>
  <c r="AM28" i="1"/>
  <c r="W29" i="1"/>
  <c r="AI29" i="1" s="1"/>
  <c r="AG29" i="1" l="1"/>
  <c r="AF29" i="1"/>
  <c r="AW29" i="1" s="1"/>
  <c r="AM29" i="1"/>
  <c r="W30" i="1"/>
  <c r="AI30" i="1" s="1"/>
  <c r="AF30" i="1" l="1"/>
  <c r="AW30" i="1" s="1"/>
  <c r="AG30" i="1"/>
  <c r="AM30" i="1"/>
  <c r="W31" i="1"/>
  <c r="AI31" i="1" s="1"/>
  <c r="AF31" i="1" l="1"/>
  <c r="AW31" i="1" s="1"/>
  <c r="AG31" i="1"/>
  <c r="AM31" i="1"/>
  <c r="W32" i="1"/>
  <c r="AI32" i="1" s="1"/>
  <c r="AF32" i="1" l="1"/>
  <c r="AW32" i="1" s="1"/>
  <c r="AG32" i="1"/>
  <c r="AM32" i="1"/>
  <c r="W33" i="1"/>
  <c r="AI33" i="1" s="1"/>
  <c r="AG33" i="1" l="1"/>
  <c r="AF33" i="1"/>
  <c r="AW33" i="1" s="1"/>
  <c r="W34" i="1"/>
  <c r="AI34" i="1" s="1"/>
  <c r="AM33" i="1"/>
  <c r="AG34" i="1" l="1"/>
  <c r="AF34" i="1"/>
  <c r="AW34" i="1" s="1"/>
  <c r="AM34" i="1"/>
  <c r="W35" i="1"/>
  <c r="AI35" i="1" s="1"/>
  <c r="AF35" i="1" l="1"/>
  <c r="AW35" i="1" s="1"/>
  <c r="AG35" i="1"/>
  <c r="AM35" i="1"/>
  <c r="W36" i="1"/>
  <c r="AI36" i="1" s="1"/>
  <c r="AF36" i="1" l="1"/>
  <c r="AW36" i="1" s="1"/>
  <c r="AG36" i="1"/>
  <c r="AM36" i="1"/>
  <c r="W37" i="1"/>
  <c r="AI37" i="1" s="1"/>
  <c r="AG37" i="1" l="1"/>
  <c r="AF37" i="1"/>
  <c r="AW37" i="1" s="1"/>
  <c r="AM37" i="1"/>
  <c r="W38" i="1"/>
  <c r="AI38" i="1" s="1"/>
  <c r="AF38" i="1" l="1"/>
  <c r="AW38" i="1" s="1"/>
  <c r="AG38" i="1"/>
  <c r="AM38" i="1"/>
  <c r="W39" i="1"/>
  <c r="AI39" i="1" s="1"/>
  <c r="X38" i="1"/>
  <c r="Z38" i="1" s="1"/>
  <c r="Y38" i="1" s="1"/>
  <c r="AF39" i="1" l="1"/>
  <c r="AG39" i="1"/>
  <c r="AM39" i="1"/>
  <c r="W40" i="1"/>
  <c r="AI40" i="1" s="1"/>
  <c r="X39" i="1"/>
  <c r="Z39" i="1" s="1"/>
  <c r="Y39" i="1" s="1"/>
  <c r="AF40" i="1" l="1"/>
  <c r="AG40" i="1"/>
  <c r="AM40" i="1"/>
  <c r="X40" i="1"/>
  <c r="Z40" i="1" s="1"/>
  <c r="Y40" i="1" s="1"/>
  <c r="W41" i="1"/>
  <c r="AI41" i="1" s="1"/>
  <c r="AG41" i="1" l="1"/>
  <c r="AG42" i="1" s="1"/>
  <c r="AF41" i="1"/>
  <c r="AM41" i="1"/>
  <c r="X41" i="1"/>
  <c r="Z41" i="1" s="1"/>
  <c r="Y41" i="1" s="1"/>
  <c r="O607" i="1" l="1"/>
  <c r="Q607" i="1" s="1"/>
  <c r="P607" i="1"/>
  <c r="U607" i="1"/>
  <c r="O608" i="1"/>
  <c r="Q608" i="1" s="1"/>
  <c r="P608" i="1"/>
  <c r="U608" i="1"/>
  <c r="O609" i="1"/>
  <c r="Q609" i="1" s="1"/>
  <c r="P609" i="1"/>
  <c r="U609" i="1"/>
  <c r="O610" i="1"/>
  <c r="P610" i="1"/>
  <c r="U610" i="1"/>
  <c r="O611" i="1"/>
  <c r="Q611" i="1" s="1"/>
  <c r="P611" i="1"/>
  <c r="U611" i="1"/>
  <c r="O612" i="1"/>
  <c r="Q612" i="1" s="1"/>
  <c r="P612" i="1"/>
  <c r="U612" i="1"/>
  <c r="O613" i="1"/>
  <c r="Q613" i="1" s="1"/>
  <c r="P613" i="1"/>
  <c r="U613" i="1"/>
  <c r="O614" i="1"/>
  <c r="Q614" i="1" s="1"/>
  <c r="P614" i="1"/>
  <c r="U614" i="1"/>
  <c r="O615" i="1"/>
  <c r="Q615" i="1" s="1"/>
  <c r="P615" i="1"/>
  <c r="U615" i="1"/>
  <c r="O616" i="1"/>
  <c r="Q616" i="1" s="1"/>
  <c r="P616" i="1"/>
  <c r="U616" i="1"/>
  <c r="O617" i="1"/>
  <c r="Q617" i="1" s="1"/>
  <c r="P617" i="1"/>
  <c r="U617" i="1"/>
  <c r="O618" i="1"/>
  <c r="Q618" i="1" s="1"/>
  <c r="P618" i="1"/>
  <c r="U618" i="1"/>
  <c r="O619" i="1"/>
  <c r="Q619" i="1" s="1"/>
  <c r="P619" i="1"/>
  <c r="U619" i="1"/>
  <c r="O620" i="1"/>
  <c r="Q620" i="1" s="1"/>
  <c r="P620" i="1"/>
  <c r="U620" i="1"/>
  <c r="O621" i="1"/>
  <c r="Q621" i="1" s="1"/>
  <c r="P621" i="1"/>
  <c r="U621" i="1"/>
  <c r="O622" i="1"/>
  <c r="P622" i="1"/>
  <c r="U622" i="1"/>
  <c r="O623" i="1"/>
  <c r="Q623" i="1" s="1"/>
  <c r="P623" i="1"/>
  <c r="U623" i="1"/>
  <c r="O624" i="1"/>
  <c r="Q624" i="1" s="1"/>
  <c r="P624" i="1"/>
  <c r="U624" i="1"/>
  <c r="O625" i="1"/>
  <c r="Q625" i="1" s="1"/>
  <c r="P625" i="1"/>
  <c r="U625" i="1"/>
  <c r="O626" i="1"/>
  <c r="Q626" i="1" s="1"/>
  <c r="P626" i="1"/>
  <c r="U626" i="1"/>
  <c r="O627" i="1"/>
  <c r="Q627" i="1" s="1"/>
  <c r="P627" i="1"/>
  <c r="U627" i="1"/>
  <c r="O628" i="1"/>
  <c r="Q628" i="1" s="1"/>
  <c r="P628" i="1"/>
  <c r="U628" i="1"/>
  <c r="O629" i="1"/>
  <c r="Q629" i="1" s="1"/>
  <c r="P629" i="1"/>
  <c r="U629" i="1"/>
  <c r="O630" i="1"/>
  <c r="Q630" i="1" s="1"/>
  <c r="P630" i="1"/>
  <c r="U630" i="1"/>
  <c r="O631" i="1"/>
  <c r="Q631" i="1" s="1"/>
  <c r="P631" i="1"/>
  <c r="U631" i="1"/>
  <c r="O632" i="1"/>
  <c r="Q632" i="1" s="1"/>
  <c r="P632" i="1"/>
  <c r="U632" i="1"/>
  <c r="O633" i="1"/>
  <c r="Q633" i="1" s="1"/>
  <c r="P633" i="1"/>
  <c r="U633" i="1"/>
  <c r="O634" i="1"/>
  <c r="P634" i="1"/>
  <c r="U634" i="1"/>
  <c r="O635" i="1"/>
  <c r="Q635" i="1" s="1"/>
  <c r="P635" i="1"/>
  <c r="U635" i="1"/>
  <c r="O636" i="1"/>
  <c r="Q636" i="1" s="1"/>
  <c r="P636" i="1"/>
  <c r="U636" i="1"/>
  <c r="O637" i="1"/>
  <c r="Q637" i="1" s="1"/>
  <c r="P637" i="1"/>
  <c r="U637" i="1"/>
  <c r="O638" i="1"/>
  <c r="Q638" i="1" s="1"/>
  <c r="P638" i="1"/>
  <c r="U638" i="1"/>
  <c r="O639" i="1"/>
  <c r="Q639" i="1" s="1"/>
  <c r="P639" i="1"/>
  <c r="U639" i="1"/>
  <c r="O640" i="1"/>
  <c r="Q640" i="1" s="1"/>
  <c r="P640" i="1"/>
  <c r="U640" i="1"/>
  <c r="O641" i="1"/>
  <c r="Q641" i="1" s="1"/>
  <c r="P641" i="1"/>
  <c r="U641" i="1"/>
  <c r="O642" i="1"/>
  <c r="Q642" i="1" s="1"/>
  <c r="P642" i="1"/>
  <c r="U642" i="1"/>
  <c r="O643" i="1"/>
  <c r="Q643" i="1" s="1"/>
  <c r="P643" i="1"/>
  <c r="U643" i="1"/>
  <c r="O644" i="1"/>
  <c r="Q644" i="1" s="1"/>
  <c r="P644" i="1"/>
  <c r="U644" i="1"/>
  <c r="O645" i="1"/>
  <c r="Q645" i="1" s="1"/>
  <c r="P645" i="1"/>
  <c r="U645" i="1"/>
  <c r="O646" i="1"/>
  <c r="P646" i="1"/>
  <c r="U646" i="1"/>
  <c r="O647" i="1"/>
  <c r="Q647" i="1" s="1"/>
  <c r="P647" i="1"/>
  <c r="U647" i="1"/>
  <c r="O648" i="1"/>
  <c r="Q648" i="1" s="1"/>
  <c r="P648" i="1"/>
  <c r="U648" i="1"/>
  <c r="O649" i="1"/>
  <c r="Q649" i="1" s="1"/>
  <c r="P649" i="1"/>
  <c r="U649" i="1"/>
  <c r="O650" i="1"/>
  <c r="Q650" i="1" s="1"/>
  <c r="P650" i="1"/>
  <c r="U650" i="1"/>
  <c r="O651" i="1"/>
  <c r="Q651" i="1" s="1"/>
  <c r="P651" i="1"/>
  <c r="U651" i="1"/>
  <c r="O652" i="1"/>
  <c r="Q652" i="1" s="1"/>
  <c r="P652" i="1"/>
  <c r="U652" i="1"/>
  <c r="O653" i="1"/>
  <c r="Q653" i="1" s="1"/>
  <c r="P653" i="1"/>
  <c r="U653" i="1"/>
  <c r="O654" i="1"/>
  <c r="Q654" i="1" s="1"/>
  <c r="P654" i="1"/>
  <c r="U654" i="1"/>
  <c r="O655" i="1"/>
  <c r="Q655" i="1" s="1"/>
  <c r="P655" i="1"/>
  <c r="U655" i="1"/>
  <c r="O656" i="1"/>
  <c r="Q656" i="1" s="1"/>
  <c r="P656" i="1"/>
  <c r="U656" i="1"/>
  <c r="O657" i="1"/>
  <c r="Q657" i="1" s="1"/>
  <c r="P657" i="1"/>
  <c r="U657" i="1"/>
  <c r="O658" i="1"/>
  <c r="P658" i="1"/>
  <c r="U658" i="1"/>
  <c r="O659" i="1"/>
  <c r="Q659" i="1" s="1"/>
  <c r="P659" i="1"/>
  <c r="U659" i="1"/>
  <c r="O660" i="1"/>
  <c r="Q660" i="1" s="1"/>
  <c r="P660" i="1"/>
  <c r="U660" i="1"/>
  <c r="O661" i="1"/>
  <c r="Q661" i="1" s="1"/>
  <c r="P661" i="1"/>
  <c r="U661" i="1"/>
  <c r="O662" i="1"/>
  <c r="Q662" i="1" s="1"/>
  <c r="P662" i="1"/>
  <c r="U662" i="1"/>
  <c r="O663" i="1"/>
  <c r="Q663" i="1" s="1"/>
  <c r="P663" i="1"/>
  <c r="U663" i="1"/>
  <c r="O664" i="1"/>
  <c r="Q664" i="1" s="1"/>
  <c r="P664" i="1"/>
  <c r="U664" i="1"/>
  <c r="O665" i="1"/>
  <c r="Q665" i="1" s="1"/>
  <c r="P665" i="1"/>
  <c r="U665" i="1"/>
  <c r="O666" i="1"/>
  <c r="Q666" i="1" s="1"/>
  <c r="P666" i="1"/>
  <c r="U666" i="1"/>
  <c r="O667" i="1"/>
  <c r="Q667" i="1" s="1"/>
  <c r="P667" i="1"/>
  <c r="U667" i="1"/>
  <c r="O668" i="1"/>
  <c r="Q668" i="1" s="1"/>
  <c r="P668" i="1"/>
  <c r="U668" i="1"/>
  <c r="O669" i="1"/>
  <c r="Q669" i="1" s="1"/>
  <c r="P669" i="1"/>
  <c r="U669" i="1"/>
  <c r="O670" i="1"/>
  <c r="P670" i="1"/>
  <c r="U670" i="1"/>
  <c r="O671" i="1"/>
  <c r="Q671" i="1" s="1"/>
  <c r="P671" i="1"/>
  <c r="U67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" i="1"/>
  <c r="P606" i="1"/>
  <c r="O606" i="1"/>
  <c r="Q606" i="1" s="1"/>
  <c r="P605" i="1"/>
  <c r="O605" i="1"/>
  <c r="Q605" i="1" s="1"/>
  <c r="P604" i="1"/>
  <c r="O604" i="1"/>
  <c r="Q604" i="1" s="1"/>
  <c r="P603" i="1"/>
  <c r="O603" i="1"/>
  <c r="Q603" i="1" s="1"/>
  <c r="P602" i="1"/>
  <c r="O602" i="1"/>
  <c r="Q602" i="1" s="1"/>
  <c r="P601" i="1"/>
  <c r="O601" i="1"/>
  <c r="Q601" i="1" s="1"/>
  <c r="P600" i="1"/>
  <c r="O600" i="1"/>
  <c r="Q600" i="1" s="1"/>
  <c r="P599" i="1"/>
  <c r="O599" i="1"/>
  <c r="Q599" i="1" s="1"/>
  <c r="P598" i="1"/>
  <c r="O598" i="1"/>
  <c r="Q598" i="1" s="1"/>
  <c r="P597" i="1"/>
  <c r="O597" i="1"/>
  <c r="Q597" i="1" s="1"/>
  <c r="P596" i="1"/>
  <c r="O596" i="1"/>
  <c r="Q596" i="1" s="1"/>
  <c r="P595" i="1"/>
  <c r="O595" i="1"/>
  <c r="Q595" i="1" s="1"/>
  <c r="P594" i="1"/>
  <c r="O594" i="1"/>
  <c r="Q594" i="1" s="1"/>
  <c r="P593" i="1"/>
  <c r="O593" i="1"/>
  <c r="Q593" i="1" s="1"/>
  <c r="P592" i="1"/>
  <c r="O592" i="1"/>
  <c r="Q592" i="1" s="1"/>
  <c r="P591" i="1"/>
  <c r="O591" i="1"/>
  <c r="Q591" i="1" s="1"/>
  <c r="P590" i="1"/>
  <c r="O590" i="1"/>
  <c r="Q590" i="1" s="1"/>
  <c r="P589" i="1"/>
  <c r="O589" i="1"/>
  <c r="Q589" i="1" s="1"/>
  <c r="P588" i="1"/>
  <c r="O588" i="1"/>
  <c r="Q588" i="1" s="1"/>
  <c r="P587" i="1"/>
  <c r="O587" i="1"/>
  <c r="Q587" i="1" s="1"/>
  <c r="P586" i="1"/>
  <c r="O586" i="1"/>
  <c r="Q586" i="1" s="1"/>
  <c r="P585" i="1"/>
  <c r="O585" i="1"/>
  <c r="Q585" i="1" s="1"/>
  <c r="P584" i="1"/>
  <c r="O584" i="1"/>
  <c r="Q584" i="1" s="1"/>
  <c r="P583" i="1"/>
  <c r="O583" i="1"/>
  <c r="Q583" i="1" s="1"/>
  <c r="P582" i="1"/>
  <c r="O582" i="1"/>
  <c r="Q582" i="1" s="1"/>
  <c r="P581" i="1"/>
  <c r="O581" i="1"/>
  <c r="Q581" i="1" s="1"/>
  <c r="P580" i="1"/>
  <c r="O580" i="1"/>
  <c r="Q580" i="1" s="1"/>
  <c r="P579" i="1"/>
  <c r="O579" i="1"/>
  <c r="Q579" i="1" s="1"/>
  <c r="P578" i="1"/>
  <c r="O578" i="1"/>
  <c r="Q578" i="1" s="1"/>
  <c r="P577" i="1"/>
  <c r="O577" i="1"/>
  <c r="Q577" i="1" s="1"/>
  <c r="P576" i="1"/>
  <c r="O576" i="1"/>
  <c r="Q576" i="1" s="1"/>
  <c r="P575" i="1"/>
  <c r="O575" i="1"/>
  <c r="Q575" i="1" s="1"/>
  <c r="P574" i="1"/>
  <c r="O574" i="1"/>
  <c r="Q574" i="1" s="1"/>
  <c r="P573" i="1"/>
  <c r="O573" i="1"/>
  <c r="Q573" i="1" s="1"/>
  <c r="P572" i="1"/>
  <c r="O572" i="1"/>
  <c r="Q572" i="1" s="1"/>
  <c r="P571" i="1"/>
  <c r="O571" i="1"/>
  <c r="Q571" i="1" s="1"/>
  <c r="P570" i="1"/>
  <c r="O570" i="1"/>
  <c r="Q570" i="1" s="1"/>
  <c r="P569" i="1"/>
  <c r="O569" i="1"/>
  <c r="Q569" i="1" s="1"/>
  <c r="P568" i="1"/>
  <c r="O568" i="1"/>
  <c r="Q568" i="1" s="1"/>
  <c r="P567" i="1"/>
  <c r="O567" i="1"/>
  <c r="Q567" i="1" s="1"/>
  <c r="P566" i="1"/>
  <c r="O566" i="1"/>
  <c r="Q566" i="1" s="1"/>
  <c r="P565" i="1"/>
  <c r="O565" i="1"/>
  <c r="Q565" i="1" s="1"/>
  <c r="P564" i="1"/>
  <c r="O564" i="1"/>
  <c r="Q564" i="1" s="1"/>
  <c r="P563" i="1"/>
  <c r="O563" i="1"/>
  <c r="Q563" i="1" s="1"/>
  <c r="P562" i="1"/>
  <c r="O562" i="1"/>
  <c r="Q562" i="1" s="1"/>
  <c r="P561" i="1"/>
  <c r="O561" i="1"/>
  <c r="Q561" i="1" s="1"/>
  <c r="P560" i="1"/>
  <c r="O560" i="1"/>
  <c r="Q560" i="1" s="1"/>
  <c r="P559" i="1"/>
  <c r="O559" i="1"/>
  <c r="Q559" i="1" s="1"/>
  <c r="P558" i="1"/>
  <c r="O558" i="1"/>
  <c r="Q558" i="1" s="1"/>
  <c r="P557" i="1"/>
  <c r="O557" i="1"/>
  <c r="Q557" i="1" s="1"/>
  <c r="P556" i="1"/>
  <c r="O556" i="1"/>
  <c r="Q556" i="1" s="1"/>
  <c r="P555" i="1"/>
  <c r="O555" i="1"/>
  <c r="Q555" i="1" s="1"/>
  <c r="P554" i="1"/>
  <c r="O554" i="1"/>
  <c r="Q554" i="1" s="1"/>
  <c r="P553" i="1"/>
  <c r="O553" i="1"/>
  <c r="Q553" i="1" s="1"/>
  <c r="P552" i="1"/>
  <c r="O552" i="1"/>
  <c r="Q552" i="1" s="1"/>
  <c r="P551" i="1"/>
  <c r="O551" i="1"/>
  <c r="Q551" i="1" s="1"/>
  <c r="P550" i="1"/>
  <c r="O550" i="1"/>
  <c r="Q550" i="1" s="1"/>
  <c r="P549" i="1"/>
  <c r="O549" i="1"/>
  <c r="Q549" i="1" s="1"/>
  <c r="P548" i="1"/>
  <c r="O548" i="1"/>
  <c r="Q548" i="1" s="1"/>
  <c r="P547" i="1"/>
  <c r="O547" i="1"/>
  <c r="Q547" i="1" s="1"/>
  <c r="P546" i="1"/>
  <c r="O546" i="1"/>
  <c r="Q546" i="1" s="1"/>
  <c r="P545" i="1"/>
  <c r="O545" i="1"/>
  <c r="Q545" i="1" s="1"/>
  <c r="P544" i="1"/>
  <c r="O544" i="1"/>
  <c r="Q544" i="1" s="1"/>
  <c r="P543" i="1"/>
  <c r="O543" i="1"/>
  <c r="Q543" i="1" s="1"/>
  <c r="P542" i="1"/>
  <c r="O542" i="1"/>
  <c r="Q542" i="1" s="1"/>
  <c r="P541" i="1"/>
  <c r="O541" i="1"/>
  <c r="Q541" i="1" s="1"/>
  <c r="P540" i="1"/>
  <c r="O540" i="1"/>
  <c r="Q540" i="1" s="1"/>
  <c r="P539" i="1"/>
  <c r="O539" i="1"/>
  <c r="Q539" i="1" s="1"/>
  <c r="P538" i="1"/>
  <c r="O538" i="1"/>
  <c r="Q538" i="1" s="1"/>
  <c r="P537" i="1"/>
  <c r="O537" i="1"/>
  <c r="Q537" i="1" s="1"/>
  <c r="P536" i="1"/>
  <c r="O536" i="1"/>
  <c r="Q536" i="1" s="1"/>
  <c r="P535" i="1"/>
  <c r="O535" i="1"/>
  <c r="Q535" i="1" s="1"/>
  <c r="P534" i="1"/>
  <c r="O534" i="1"/>
  <c r="Q534" i="1" s="1"/>
  <c r="P533" i="1"/>
  <c r="O533" i="1"/>
  <c r="Q533" i="1" s="1"/>
  <c r="P532" i="1"/>
  <c r="O532" i="1"/>
  <c r="Q532" i="1" s="1"/>
  <c r="P531" i="1"/>
  <c r="O531" i="1"/>
  <c r="Q531" i="1" s="1"/>
  <c r="P530" i="1"/>
  <c r="O530" i="1"/>
  <c r="Q530" i="1" s="1"/>
  <c r="P529" i="1"/>
  <c r="O529" i="1"/>
  <c r="Q529" i="1" s="1"/>
  <c r="P528" i="1"/>
  <c r="O528" i="1"/>
  <c r="Q528" i="1" s="1"/>
  <c r="P527" i="1"/>
  <c r="O527" i="1"/>
  <c r="Q527" i="1" s="1"/>
  <c r="P526" i="1"/>
  <c r="O526" i="1"/>
  <c r="Q526" i="1" s="1"/>
  <c r="P525" i="1"/>
  <c r="O525" i="1"/>
  <c r="Q525" i="1" s="1"/>
  <c r="P524" i="1"/>
  <c r="O524" i="1"/>
  <c r="Q524" i="1" s="1"/>
  <c r="P523" i="1"/>
  <c r="O523" i="1"/>
  <c r="Q523" i="1" s="1"/>
  <c r="P522" i="1"/>
  <c r="O522" i="1"/>
  <c r="Q522" i="1" s="1"/>
  <c r="P521" i="1"/>
  <c r="O521" i="1"/>
  <c r="Q521" i="1" s="1"/>
  <c r="P520" i="1"/>
  <c r="O520" i="1"/>
  <c r="Q520" i="1" s="1"/>
  <c r="P519" i="1"/>
  <c r="O519" i="1"/>
  <c r="Q519" i="1" s="1"/>
  <c r="P518" i="1"/>
  <c r="O518" i="1"/>
  <c r="Q518" i="1" s="1"/>
  <c r="P517" i="1"/>
  <c r="O517" i="1"/>
  <c r="Q517" i="1" s="1"/>
  <c r="P516" i="1"/>
  <c r="O516" i="1"/>
  <c r="Q516" i="1" s="1"/>
  <c r="P515" i="1"/>
  <c r="O515" i="1"/>
  <c r="Q515" i="1" s="1"/>
  <c r="P514" i="1"/>
  <c r="O514" i="1"/>
  <c r="Q514" i="1" s="1"/>
  <c r="P513" i="1"/>
  <c r="O513" i="1"/>
  <c r="Q513" i="1" s="1"/>
  <c r="P512" i="1"/>
  <c r="O512" i="1"/>
  <c r="Q512" i="1" s="1"/>
  <c r="P511" i="1"/>
  <c r="O511" i="1"/>
  <c r="Q511" i="1" s="1"/>
  <c r="P510" i="1"/>
  <c r="O510" i="1"/>
  <c r="Q510" i="1" s="1"/>
  <c r="P509" i="1"/>
  <c r="O509" i="1"/>
  <c r="Q509" i="1" s="1"/>
  <c r="P508" i="1"/>
  <c r="O508" i="1"/>
  <c r="Q508" i="1" s="1"/>
  <c r="P507" i="1"/>
  <c r="O507" i="1"/>
  <c r="Q507" i="1" s="1"/>
  <c r="P506" i="1"/>
  <c r="O506" i="1"/>
  <c r="Q506" i="1" s="1"/>
  <c r="P505" i="1"/>
  <c r="O505" i="1"/>
  <c r="Q505" i="1" s="1"/>
  <c r="P504" i="1"/>
  <c r="O504" i="1"/>
  <c r="Q504" i="1" s="1"/>
  <c r="P503" i="1"/>
  <c r="O503" i="1"/>
  <c r="Q503" i="1" s="1"/>
  <c r="P502" i="1"/>
  <c r="O502" i="1"/>
  <c r="Q502" i="1" s="1"/>
  <c r="P501" i="1"/>
  <c r="O501" i="1"/>
  <c r="Q501" i="1" s="1"/>
  <c r="P500" i="1"/>
  <c r="O500" i="1"/>
  <c r="Q500" i="1" s="1"/>
  <c r="P499" i="1"/>
  <c r="O499" i="1"/>
  <c r="Q499" i="1" s="1"/>
  <c r="P498" i="1"/>
  <c r="O498" i="1"/>
  <c r="Q498" i="1" s="1"/>
  <c r="P497" i="1"/>
  <c r="O497" i="1"/>
  <c r="Q497" i="1" s="1"/>
  <c r="P496" i="1"/>
  <c r="O496" i="1"/>
  <c r="Q496" i="1" s="1"/>
  <c r="P495" i="1"/>
  <c r="O495" i="1"/>
  <c r="Q495" i="1" s="1"/>
  <c r="P494" i="1"/>
  <c r="O494" i="1"/>
  <c r="Q494" i="1" s="1"/>
  <c r="P493" i="1"/>
  <c r="O493" i="1"/>
  <c r="Q493" i="1" s="1"/>
  <c r="P492" i="1"/>
  <c r="O492" i="1"/>
  <c r="Q492" i="1" s="1"/>
  <c r="P491" i="1"/>
  <c r="O491" i="1"/>
  <c r="Q491" i="1" s="1"/>
  <c r="P490" i="1"/>
  <c r="O490" i="1"/>
  <c r="Q490" i="1" s="1"/>
  <c r="P489" i="1"/>
  <c r="O489" i="1"/>
  <c r="Q489" i="1" s="1"/>
  <c r="P488" i="1"/>
  <c r="O488" i="1"/>
  <c r="Q488" i="1" s="1"/>
  <c r="P487" i="1"/>
  <c r="O487" i="1"/>
  <c r="Q487" i="1" s="1"/>
  <c r="P486" i="1"/>
  <c r="O486" i="1"/>
  <c r="Q486" i="1" s="1"/>
  <c r="P485" i="1"/>
  <c r="O485" i="1"/>
  <c r="Q485" i="1" s="1"/>
  <c r="P484" i="1"/>
  <c r="O484" i="1"/>
  <c r="Q484" i="1" s="1"/>
  <c r="P483" i="1"/>
  <c r="O483" i="1"/>
  <c r="Q483" i="1" s="1"/>
  <c r="P482" i="1"/>
  <c r="O482" i="1"/>
  <c r="Q482" i="1" s="1"/>
  <c r="P481" i="1"/>
  <c r="O481" i="1"/>
  <c r="Q481" i="1" s="1"/>
  <c r="P480" i="1"/>
  <c r="O480" i="1"/>
  <c r="Q480" i="1" s="1"/>
  <c r="P479" i="1"/>
  <c r="O479" i="1"/>
  <c r="Q479" i="1" s="1"/>
  <c r="P478" i="1"/>
  <c r="O478" i="1"/>
  <c r="Q478" i="1" s="1"/>
  <c r="P477" i="1"/>
  <c r="O477" i="1"/>
  <c r="Q477" i="1" s="1"/>
  <c r="P476" i="1"/>
  <c r="O476" i="1"/>
  <c r="Q476" i="1" s="1"/>
  <c r="P475" i="1"/>
  <c r="O475" i="1"/>
  <c r="Q475" i="1" s="1"/>
  <c r="P474" i="1"/>
  <c r="O474" i="1"/>
  <c r="Q474" i="1" s="1"/>
  <c r="P473" i="1"/>
  <c r="O473" i="1"/>
  <c r="Q473" i="1" s="1"/>
  <c r="P472" i="1"/>
  <c r="O472" i="1"/>
  <c r="Q472" i="1" s="1"/>
  <c r="P471" i="1"/>
  <c r="O471" i="1"/>
  <c r="Q471" i="1" s="1"/>
  <c r="P470" i="1"/>
  <c r="O470" i="1"/>
  <c r="Q470" i="1" s="1"/>
  <c r="P469" i="1"/>
  <c r="O469" i="1"/>
  <c r="Q469" i="1" s="1"/>
  <c r="P468" i="1"/>
  <c r="O468" i="1"/>
  <c r="Q468" i="1" s="1"/>
  <c r="P467" i="1"/>
  <c r="O467" i="1"/>
  <c r="Q467" i="1" s="1"/>
  <c r="P466" i="1"/>
  <c r="O466" i="1"/>
  <c r="Q466" i="1" s="1"/>
  <c r="P465" i="1"/>
  <c r="O465" i="1"/>
  <c r="Q465" i="1" s="1"/>
  <c r="P464" i="1"/>
  <c r="O464" i="1"/>
  <c r="Q464" i="1" s="1"/>
  <c r="P463" i="1"/>
  <c r="O463" i="1"/>
  <c r="Q463" i="1" s="1"/>
  <c r="P462" i="1"/>
  <c r="O462" i="1"/>
  <c r="Q462" i="1" s="1"/>
  <c r="P461" i="1"/>
  <c r="O461" i="1"/>
  <c r="Q461" i="1" s="1"/>
  <c r="P460" i="1"/>
  <c r="O460" i="1"/>
  <c r="Q460" i="1" s="1"/>
  <c r="P459" i="1"/>
  <c r="O459" i="1"/>
  <c r="Q459" i="1" s="1"/>
  <c r="P458" i="1"/>
  <c r="O458" i="1"/>
  <c r="Q458" i="1" s="1"/>
  <c r="P457" i="1"/>
  <c r="O457" i="1"/>
  <c r="Q457" i="1" s="1"/>
  <c r="P456" i="1"/>
  <c r="O456" i="1"/>
  <c r="Q456" i="1" s="1"/>
  <c r="P455" i="1"/>
  <c r="O455" i="1"/>
  <c r="Q455" i="1" s="1"/>
  <c r="P454" i="1"/>
  <c r="O454" i="1"/>
  <c r="Q454" i="1" s="1"/>
  <c r="P453" i="1"/>
  <c r="O453" i="1"/>
  <c r="Q453" i="1" s="1"/>
  <c r="P452" i="1"/>
  <c r="O452" i="1"/>
  <c r="Q452" i="1" s="1"/>
  <c r="P451" i="1"/>
  <c r="O451" i="1"/>
  <c r="Q451" i="1" s="1"/>
  <c r="P450" i="1"/>
  <c r="O450" i="1"/>
  <c r="Q450" i="1" s="1"/>
  <c r="P449" i="1"/>
  <c r="O449" i="1"/>
  <c r="Q449" i="1" s="1"/>
  <c r="P448" i="1"/>
  <c r="O448" i="1"/>
  <c r="Q448" i="1" s="1"/>
  <c r="P447" i="1"/>
  <c r="O447" i="1"/>
  <c r="Q447" i="1" s="1"/>
  <c r="P446" i="1"/>
  <c r="O446" i="1"/>
  <c r="Q446" i="1" s="1"/>
  <c r="P445" i="1"/>
  <c r="O445" i="1"/>
  <c r="Q445" i="1" s="1"/>
  <c r="P444" i="1"/>
  <c r="O444" i="1"/>
  <c r="Q444" i="1" s="1"/>
  <c r="P443" i="1"/>
  <c r="O443" i="1"/>
  <c r="Q443" i="1" s="1"/>
  <c r="P442" i="1"/>
  <c r="O442" i="1"/>
  <c r="Q442" i="1" s="1"/>
  <c r="P441" i="1"/>
  <c r="O441" i="1"/>
  <c r="Q441" i="1" s="1"/>
  <c r="P440" i="1"/>
  <c r="O440" i="1"/>
  <c r="Q440" i="1" s="1"/>
  <c r="P439" i="1"/>
  <c r="O439" i="1"/>
  <c r="Q439" i="1" s="1"/>
  <c r="P438" i="1"/>
  <c r="O438" i="1"/>
  <c r="Q438" i="1" s="1"/>
  <c r="P437" i="1"/>
  <c r="O437" i="1"/>
  <c r="Q437" i="1" s="1"/>
  <c r="P436" i="1"/>
  <c r="O436" i="1"/>
  <c r="Q436" i="1" s="1"/>
  <c r="P435" i="1"/>
  <c r="O435" i="1"/>
  <c r="Q435" i="1" s="1"/>
  <c r="P434" i="1"/>
  <c r="O434" i="1"/>
  <c r="Q434" i="1" s="1"/>
  <c r="P433" i="1"/>
  <c r="O433" i="1"/>
  <c r="Q433" i="1" s="1"/>
  <c r="P432" i="1"/>
  <c r="O432" i="1"/>
  <c r="Q432" i="1" s="1"/>
  <c r="P431" i="1"/>
  <c r="O431" i="1"/>
  <c r="Q431" i="1" s="1"/>
  <c r="P430" i="1"/>
  <c r="O430" i="1"/>
  <c r="Q430" i="1" s="1"/>
  <c r="P429" i="1"/>
  <c r="O429" i="1"/>
  <c r="Q429" i="1" s="1"/>
  <c r="P428" i="1"/>
  <c r="O428" i="1"/>
  <c r="Q428" i="1" s="1"/>
  <c r="P427" i="1"/>
  <c r="O427" i="1"/>
  <c r="Q427" i="1" s="1"/>
  <c r="P426" i="1"/>
  <c r="O426" i="1"/>
  <c r="Q426" i="1" s="1"/>
  <c r="P425" i="1"/>
  <c r="O425" i="1"/>
  <c r="Q425" i="1" s="1"/>
  <c r="P424" i="1"/>
  <c r="O424" i="1"/>
  <c r="Q424" i="1" s="1"/>
  <c r="P423" i="1"/>
  <c r="O423" i="1"/>
  <c r="Q423" i="1" s="1"/>
  <c r="P422" i="1"/>
  <c r="O422" i="1"/>
  <c r="Q422" i="1" s="1"/>
  <c r="P421" i="1"/>
  <c r="O421" i="1"/>
  <c r="Q421" i="1" s="1"/>
  <c r="P420" i="1"/>
  <c r="O420" i="1"/>
  <c r="Q420" i="1" s="1"/>
  <c r="P419" i="1"/>
  <c r="O419" i="1"/>
  <c r="Q419" i="1" s="1"/>
  <c r="P418" i="1"/>
  <c r="O418" i="1"/>
  <c r="Q418" i="1" s="1"/>
  <c r="P417" i="1"/>
  <c r="O417" i="1"/>
  <c r="Q417" i="1" s="1"/>
  <c r="P416" i="1"/>
  <c r="O416" i="1"/>
  <c r="Q416" i="1" s="1"/>
  <c r="P415" i="1"/>
  <c r="O415" i="1"/>
  <c r="Q415" i="1" s="1"/>
  <c r="P414" i="1"/>
  <c r="O414" i="1"/>
  <c r="Q414" i="1" s="1"/>
  <c r="P413" i="1"/>
  <c r="O413" i="1"/>
  <c r="Q413" i="1" s="1"/>
  <c r="P412" i="1"/>
  <c r="O412" i="1"/>
  <c r="Q412" i="1" s="1"/>
  <c r="P411" i="1"/>
  <c r="O411" i="1"/>
  <c r="Q411" i="1" s="1"/>
  <c r="P410" i="1"/>
  <c r="O410" i="1"/>
  <c r="Q410" i="1" s="1"/>
  <c r="P409" i="1"/>
  <c r="O409" i="1"/>
  <c r="Q409" i="1" s="1"/>
  <c r="P408" i="1"/>
  <c r="O408" i="1"/>
  <c r="Q408" i="1" s="1"/>
  <c r="P407" i="1"/>
  <c r="O407" i="1"/>
  <c r="Q407" i="1" s="1"/>
  <c r="P406" i="1"/>
  <c r="O406" i="1"/>
  <c r="Q406" i="1" s="1"/>
  <c r="P405" i="1"/>
  <c r="O405" i="1"/>
  <c r="Q405" i="1" s="1"/>
  <c r="P404" i="1"/>
  <c r="O404" i="1"/>
  <c r="Q404" i="1" s="1"/>
  <c r="P403" i="1"/>
  <c r="O403" i="1"/>
  <c r="Q403" i="1" s="1"/>
  <c r="P402" i="1"/>
  <c r="O402" i="1"/>
  <c r="Q402" i="1" s="1"/>
  <c r="P401" i="1"/>
  <c r="O401" i="1"/>
  <c r="Q401" i="1" s="1"/>
  <c r="P400" i="1"/>
  <c r="O400" i="1"/>
  <c r="Q400" i="1" s="1"/>
  <c r="P399" i="1"/>
  <c r="O399" i="1"/>
  <c r="Q399" i="1" s="1"/>
  <c r="P398" i="1"/>
  <c r="O398" i="1"/>
  <c r="Q398" i="1" s="1"/>
  <c r="P397" i="1"/>
  <c r="O397" i="1"/>
  <c r="Q397" i="1" s="1"/>
  <c r="P396" i="1"/>
  <c r="O396" i="1"/>
  <c r="Q396" i="1" s="1"/>
  <c r="P395" i="1"/>
  <c r="O395" i="1"/>
  <c r="Q395" i="1" s="1"/>
  <c r="P394" i="1"/>
  <c r="O394" i="1"/>
  <c r="Q394" i="1" s="1"/>
  <c r="P393" i="1"/>
  <c r="O393" i="1"/>
  <c r="Q393" i="1" s="1"/>
  <c r="P392" i="1"/>
  <c r="O392" i="1"/>
  <c r="Q392" i="1" s="1"/>
  <c r="P391" i="1"/>
  <c r="O391" i="1"/>
  <c r="Q391" i="1" s="1"/>
  <c r="P390" i="1"/>
  <c r="O390" i="1"/>
  <c r="Q390" i="1" s="1"/>
  <c r="P389" i="1"/>
  <c r="O389" i="1"/>
  <c r="Q389" i="1" s="1"/>
  <c r="P388" i="1"/>
  <c r="O388" i="1"/>
  <c r="Q388" i="1" s="1"/>
  <c r="P387" i="1"/>
  <c r="O387" i="1"/>
  <c r="Q387" i="1" s="1"/>
  <c r="P386" i="1"/>
  <c r="O386" i="1"/>
  <c r="Q386" i="1" s="1"/>
  <c r="P385" i="1"/>
  <c r="O385" i="1"/>
  <c r="Q385" i="1" s="1"/>
  <c r="P384" i="1"/>
  <c r="O384" i="1"/>
  <c r="Q384" i="1" s="1"/>
  <c r="P383" i="1"/>
  <c r="O383" i="1"/>
  <c r="Q383" i="1" s="1"/>
  <c r="P382" i="1"/>
  <c r="O382" i="1"/>
  <c r="Q382" i="1" s="1"/>
  <c r="P381" i="1"/>
  <c r="O381" i="1"/>
  <c r="Q381" i="1" s="1"/>
  <c r="P380" i="1"/>
  <c r="O380" i="1"/>
  <c r="Q380" i="1" s="1"/>
  <c r="P379" i="1"/>
  <c r="O379" i="1"/>
  <c r="Q379" i="1" s="1"/>
  <c r="P378" i="1"/>
  <c r="O378" i="1"/>
  <c r="Q378" i="1" s="1"/>
  <c r="P377" i="1"/>
  <c r="O377" i="1"/>
  <c r="Q377" i="1" s="1"/>
  <c r="P376" i="1"/>
  <c r="O376" i="1"/>
  <c r="Q376" i="1" s="1"/>
  <c r="P375" i="1"/>
  <c r="O375" i="1"/>
  <c r="Q375" i="1" s="1"/>
  <c r="P374" i="1"/>
  <c r="O374" i="1"/>
  <c r="Q374" i="1" s="1"/>
  <c r="P373" i="1"/>
  <c r="O373" i="1"/>
  <c r="Q373" i="1" s="1"/>
  <c r="P372" i="1"/>
  <c r="O372" i="1"/>
  <c r="Q372" i="1" s="1"/>
  <c r="P371" i="1"/>
  <c r="O371" i="1"/>
  <c r="Q371" i="1" s="1"/>
  <c r="P370" i="1"/>
  <c r="O370" i="1"/>
  <c r="Q370" i="1" s="1"/>
  <c r="P369" i="1"/>
  <c r="O369" i="1"/>
  <c r="Q369" i="1" s="1"/>
  <c r="P368" i="1"/>
  <c r="O368" i="1"/>
  <c r="Q368" i="1" s="1"/>
  <c r="P367" i="1"/>
  <c r="O367" i="1"/>
  <c r="Q367" i="1" s="1"/>
  <c r="P366" i="1"/>
  <c r="O366" i="1"/>
  <c r="Q366" i="1" s="1"/>
  <c r="P365" i="1"/>
  <c r="O365" i="1"/>
  <c r="Q365" i="1" s="1"/>
  <c r="P364" i="1"/>
  <c r="O364" i="1"/>
  <c r="Q364" i="1" s="1"/>
  <c r="P363" i="1"/>
  <c r="O363" i="1"/>
  <c r="Q363" i="1" s="1"/>
  <c r="P362" i="1"/>
  <c r="O362" i="1"/>
  <c r="Q362" i="1" s="1"/>
  <c r="P361" i="1"/>
  <c r="O361" i="1"/>
  <c r="Q361" i="1" s="1"/>
  <c r="P360" i="1"/>
  <c r="O360" i="1"/>
  <c r="Q360" i="1" s="1"/>
  <c r="P359" i="1"/>
  <c r="O359" i="1"/>
  <c r="Q359" i="1" s="1"/>
  <c r="P358" i="1"/>
  <c r="O358" i="1"/>
  <c r="Q358" i="1" s="1"/>
  <c r="P357" i="1"/>
  <c r="O357" i="1"/>
  <c r="Q357" i="1" s="1"/>
  <c r="P356" i="1"/>
  <c r="O356" i="1"/>
  <c r="Q356" i="1" s="1"/>
  <c r="P355" i="1"/>
  <c r="O355" i="1"/>
  <c r="Q355" i="1" s="1"/>
  <c r="P354" i="1"/>
  <c r="O354" i="1"/>
  <c r="Q354" i="1" s="1"/>
  <c r="P353" i="1"/>
  <c r="O353" i="1"/>
  <c r="Q353" i="1" s="1"/>
  <c r="P352" i="1"/>
  <c r="O352" i="1"/>
  <c r="Q352" i="1" s="1"/>
  <c r="P351" i="1"/>
  <c r="O351" i="1"/>
  <c r="Q351" i="1" s="1"/>
  <c r="P350" i="1"/>
  <c r="O350" i="1"/>
  <c r="Q350" i="1" s="1"/>
  <c r="P349" i="1"/>
  <c r="O349" i="1"/>
  <c r="Q349" i="1" s="1"/>
  <c r="P348" i="1"/>
  <c r="O348" i="1"/>
  <c r="Q348" i="1" s="1"/>
  <c r="P347" i="1"/>
  <c r="O347" i="1"/>
  <c r="Q347" i="1" s="1"/>
  <c r="P346" i="1"/>
  <c r="O346" i="1"/>
  <c r="Q346" i="1" s="1"/>
  <c r="P345" i="1"/>
  <c r="O345" i="1"/>
  <c r="Q345" i="1" s="1"/>
  <c r="P344" i="1"/>
  <c r="O344" i="1"/>
  <c r="Q344" i="1" s="1"/>
  <c r="P343" i="1"/>
  <c r="O343" i="1"/>
  <c r="Q343" i="1" s="1"/>
  <c r="P342" i="1"/>
  <c r="O342" i="1"/>
  <c r="Q342" i="1" s="1"/>
  <c r="P341" i="1"/>
  <c r="O341" i="1"/>
  <c r="Q341" i="1" s="1"/>
  <c r="P340" i="1"/>
  <c r="O340" i="1"/>
  <c r="Q340" i="1" s="1"/>
  <c r="P339" i="1"/>
  <c r="O339" i="1"/>
  <c r="Q339" i="1" s="1"/>
  <c r="P338" i="1"/>
  <c r="O338" i="1"/>
  <c r="Q338" i="1" s="1"/>
  <c r="P337" i="1"/>
  <c r="O337" i="1"/>
  <c r="Q337" i="1" s="1"/>
  <c r="P336" i="1"/>
  <c r="O336" i="1"/>
  <c r="Q336" i="1" s="1"/>
  <c r="P335" i="1"/>
  <c r="O335" i="1"/>
  <c r="Q335" i="1" s="1"/>
  <c r="P334" i="1"/>
  <c r="O334" i="1"/>
  <c r="Q334" i="1" s="1"/>
  <c r="P333" i="1"/>
  <c r="O333" i="1"/>
  <c r="Q333" i="1" s="1"/>
  <c r="P332" i="1"/>
  <c r="O332" i="1"/>
  <c r="Q332" i="1" s="1"/>
  <c r="P331" i="1"/>
  <c r="O331" i="1"/>
  <c r="Q331" i="1" s="1"/>
  <c r="P330" i="1"/>
  <c r="O330" i="1"/>
  <c r="Q330" i="1" s="1"/>
  <c r="P329" i="1"/>
  <c r="O329" i="1"/>
  <c r="Q329" i="1" s="1"/>
  <c r="P328" i="1"/>
  <c r="O328" i="1"/>
  <c r="Q328" i="1" s="1"/>
  <c r="P327" i="1"/>
  <c r="O327" i="1"/>
  <c r="Q327" i="1" s="1"/>
  <c r="P326" i="1"/>
  <c r="O326" i="1"/>
  <c r="Q326" i="1" s="1"/>
  <c r="P325" i="1"/>
  <c r="O325" i="1"/>
  <c r="Q325" i="1" s="1"/>
  <c r="P324" i="1"/>
  <c r="O324" i="1"/>
  <c r="Q324" i="1" s="1"/>
  <c r="P323" i="1"/>
  <c r="O323" i="1"/>
  <c r="Q323" i="1" s="1"/>
  <c r="P322" i="1"/>
  <c r="O322" i="1"/>
  <c r="Q322" i="1" s="1"/>
  <c r="P321" i="1"/>
  <c r="O321" i="1"/>
  <c r="Q321" i="1" s="1"/>
  <c r="P320" i="1"/>
  <c r="O320" i="1"/>
  <c r="Q320" i="1" s="1"/>
  <c r="P319" i="1"/>
  <c r="O319" i="1"/>
  <c r="Q319" i="1" s="1"/>
  <c r="P318" i="1"/>
  <c r="O318" i="1"/>
  <c r="Q318" i="1" s="1"/>
  <c r="P317" i="1"/>
  <c r="O317" i="1"/>
  <c r="Q317" i="1" s="1"/>
  <c r="P316" i="1"/>
  <c r="O316" i="1"/>
  <c r="Q316" i="1" s="1"/>
  <c r="P315" i="1"/>
  <c r="O315" i="1"/>
  <c r="Q315" i="1" s="1"/>
  <c r="P314" i="1"/>
  <c r="O314" i="1"/>
  <c r="Q314" i="1" s="1"/>
  <c r="P313" i="1"/>
  <c r="O313" i="1"/>
  <c r="Q313" i="1" s="1"/>
  <c r="P312" i="1"/>
  <c r="O312" i="1"/>
  <c r="Q312" i="1" s="1"/>
  <c r="P311" i="1"/>
  <c r="O311" i="1"/>
  <c r="Q311" i="1" s="1"/>
  <c r="P310" i="1"/>
  <c r="O310" i="1"/>
  <c r="Q310" i="1" s="1"/>
  <c r="P309" i="1"/>
  <c r="O309" i="1"/>
  <c r="Q309" i="1" s="1"/>
  <c r="P308" i="1"/>
  <c r="O308" i="1"/>
  <c r="Q308" i="1" s="1"/>
  <c r="P307" i="1"/>
  <c r="O307" i="1"/>
  <c r="Q307" i="1" s="1"/>
  <c r="P306" i="1"/>
  <c r="O306" i="1"/>
  <c r="P305" i="1"/>
  <c r="O305" i="1"/>
  <c r="Q305" i="1" s="1"/>
  <c r="P304" i="1"/>
  <c r="O304" i="1"/>
  <c r="Q304" i="1" s="1"/>
  <c r="P303" i="1"/>
  <c r="O303" i="1"/>
  <c r="Q303" i="1" s="1"/>
  <c r="P302" i="1"/>
  <c r="O302" i="1"/>
  <c r="Q302" i="1" s="1"/>
  <c r="P301" i="1"/>
  <c r="O301" i="1"/>
  <c r="Q301" i="1" s="1"/>
  <c r="P300" i="1"/>
  <c r="O300" i="1"/>
  <c r="Q300" i="1" s="1"/>
  <c r="P299" i="1"/>
  <c r="O299" i="1"/>
  <c r="Q299" i="1" s="1"/>
  <c r="P298" i="1"/>
  <c r="O298" i="1"/>
  <c r="Q298" i="1" s="1"/>
  <c r="P297" i="1"/>
  <c r="O297" i="1"/>
  <c r="Q297" i="1" s="1"/>
  <c r="P296" i="1"/>
  <c r="O296" i="1"/>
  <c r="Q296" i="1" s="1"/>
  <c r="P295" i="1"/>
  <c r="O295" i="1"/>
  <c r="Q295" i="1" s="1"/>
  <c r="P294" i="1"/>
  <c r="O294" i="1"/>
  <c r="Q294" i="1" s="1"/>
  <c r="P293" i="1"/>
  <c r="O293" i="1"/>
  <c r="Q293" i="1" s="1"/>
  <c r="P292" i="1"/>
  <c r="O292" i="1"/>
  <c r="Q292" i="1" s="1"/>
  <c r="P291" i="1"/>
  <c r="O291" i="1"/>
  <c r="Q291" i="1" s="1"/>
  <c r="P290" i="1"/>
  <c r="O290" i="1"/>
  <c r="Q290" i="1" s="1"/>
  <c r="P289" i="1"/>
  <c r="O289" i="1"/>
  <c r="Q289" i="1" s="1"/>
  <c r="P288" i="1"/>
  <c r="O288" i="1"/>
  <c r="Q288" i="1" s="1"/>
  <c r="P287" i="1"/>
  <c r="O287" i="1"/>
  <c r="Q287" i="1" s="1"/>
  <c r="P286" i="1"/>
  <c r="O286" i="1"/>
  <c r="Q286" i="1" s="1"/>
  <c r="P285" i="1"/>
  <c r="O285" i="1"/>
  <c r="Q285" i="1" s="1"/>
  <c r="P284" i="1"/>
  <c r="O284" i="1"/>
  <c r="Q284" i="1" s="1"/>
  <c r="P283" i="1"/>
  <c r="O283" i="1"/>
  <c r="Q283" i="1" s="1"/>
  <c r="P282" i="1"/>
  <c r="O282" i="1"/>
  <c r="Q282" i="1" s="1"/>
  <c r="P281" i="1"/>
  <c r="O281" i="1"/>
  <c r="Q281" i="1" s="1"/>
  <c r="P280" i="1"/>
  <c r="O280" i="1"/>
  <c r="Q280" i="1" s="1"/>
  <c r="P279" i="1"/>
  <c r="O279" i="1"/>
  <c r="Q279" i="1" s="1"/>
  <c r="P278" i="1"/>
  <c r="O278" i="1"/>
  <c r="Q278" i="1" s="1"/>
  <c r="P277" i="1"/>
  <c r="O277" i="1"/>
  <c r="Q277" i="1" s="1"/>
  <c r="P276" i="1"/>
  <c r="O276" i="1"/>
  <c r="Q276" i="1" s="1"/>
  <c r="P275" i="1"/>
  <c r="O275" i="1"/>
  <c r="Q275" i="1" s="1"/>
  <c r="P274" i="1"/>
  <c r="O274" i="1"/>
  <c r="Q274" i="1" s="1"/>
  <c r="P273" i="1"/>
  <c r="O273" i="1"/>
  <c r="Q273" i="1" s="1"/>
  <c r="P272" i="1"/>
  <c r="O272" i="1"/>
  <c r="Q272" i="1" s="1"/>
  <c r="P271" i="1"/>
  <c r="O271" i="1"/>
  <c r="Q271" i="1" s="1"/>
  <c r="P270" i="1"/>
  <c r="O270" i="1"/>
  <c r="Q270" i="1" s="1"/>
  <c r="P269" i="1"/>
  <c r="O269" i="1"/>
  <c r="Q269" i="1" s="1"/>
  <c r="P268" i="1"/>
  <c r="O268" i="1"/>
  <c r="Q268" i="1" s="1"/>
  <c r="P267" i="1"/>
  <c r="O267" i="1"/>
  <c r="Q267" i="1" s="1"/>
  <c r="P266" i="1"/>
  <c r="O266" i="1"/>
  <c r="Q266" i="1" s="1"/>
  <c r="P265" i="1"/>
  <c r="O265" i="1"/>
  <c r="Q265" i="1" s="1"/>
  <c r="P264" i="1"/>
  <c r="O264" i="1"/>
  <c r="Q264" i="1" s="1"/>
  <c r="P263" i="1"/>
  <c r="O263" i="1"/>
  <c r="Q263" i="1" s="1"/>
  <c r="P262" i="1"/>
  <c r="O262" i="1"/>
  <c r="Q262" i="1" s="1"/>
  <c r="P261" i="1"/>
  <c r="O261" i="1"/>
  <c r="Q261" i="1" s="1"/>
  <c r="P260" i="1"/>
  <c r="O260" i="1"/>
  <c r="Q260" i="1" s="1"/>
  <c r="P259" i="1"/>
  <c r="O259" i="1"/>
  <c r="Q259" i="1" s="1"/>
  <c r="P258" i="1"/>
  <c r="O258" i="1"/>
  <c r="Q258" i="1" s="1"/>
  <c r="P257" i="1"/>
  <c r="O257" i="1"/>
  <c r="Q257" i="1" s="1"/>
  <c r="P256" i="1"/>
  <c r="O256" i="1"/>
  <c r="Q256" i="1" s="1"/>
  <c r="P255" i="1"/>
  <c r="O255" i="1"/>
  <c r="Q255" i="1" s="1"/>
  <c r="P254" i="1"/>
  <c r="O254" i="1"/>
  <c r="Q254" i="1" s="1"/>
  <c r="P253" i="1"/>
  <c r="O253" i="1"/>
  <c r="Q253" i="1" s="1"/>
  <c r="P252" i="1"/>
  <c r="O252" i="1"/>
  <c r="Q252" i="1" s="1"/>
  <c r="P251" i="1"/>
  <c r="O251" i="1"/>
  <c r="Q251" i="1" s="1"/>
  <c r="P250" i="1"/>
  <c r="O250" i="1"/>
  <c r="Q250" i="1" s="1"/>
  <c r="P249" i="1"/>
  <c r="O249" i="1"/>
  <c r="Q249" i="1" s="1"/>
  <c r="P248" i="1"/>
  <c r="O248" i="1"/>
  <c r="Q248" i="1" s="1"/>
  <c r="P247" i="1"/>
  <c r="O247" i="1"/>
  <c r="Q247" i="1" s="1"/>
  <c r="P246" i="1"/>
  <c r="O246" i="1"/>
  <c r="Q246" i="1" s="1"/>
  <c r="P245" i="1"/>
  <c r="O245" i="1"/>
  <c r="Q245" i="1" s="1"/>
  <c r="P244" i="1"/>
  <c r="O244" i="1"/>
  <c r="Q244" i="1" s="1"/>
  <c r="P243" i="1"/>
  <c r="O243" i="1"/>
  <c r="Q243" i="1" s="1"/>
  <c r="P242" i="1"/>
  <c r="O242" i="1"/>
  <c r="Q242" i="1" s="1"/>
  <c r="P241" i="1"/>
  <c r="O241" i="1"/>
  <c r="Q241" i="1" s="1"/>
  <c r="P240" i="1"/>
  <c r="O240" i="1"/>
  <c r="Q240" i="1" s="1"/>
  <c r="P239" i="1"/>
  <c r="O239" i="1"/>
  <c r="Q239" i="1" s="1"/>
  <c r="P238" i="1"/>
  <c r="O238" i="1"/>
  <c r="Q238" i="1" s="1"/>
  <c r="P237" i="1"/>
  <c r="O237" i="1"/>
  <c r="Q237" i="1" s="1"/>
  <c r="P236" i="1"/>
  <c r="O236" i="1"/>
  <c r="Q236" i="1" s="1"/>
  <c r="P235" i="1"/>
  <c r="O235" i="1"/>
  <c r="Q235" i="1" s="1"/>
  <c r="P234" i="1"/>
  <c r="O234" i="1"/>
  <c r="Q234" i="1" s="1"/>
  <c r="P233" i="1"/>
  <c r="O233" i="1"/>
  <c r="Q233" i="1" s="1"/>
  <c r="P232" i="1"/>
  <c r="O232" i="1"/>
  <c r="Q232" i="1" s="1"/>
  <c r="P231" i="1"/>
  <c r="O231" i="1"/>
  <c r="Q231" i="1" s="1"/>
  <c r="P230" i="1"/>
  <c r="O230" i="1"/>
  <c r="Q230" i="1" s="1"/>
  <c r="P229" i="1"/>
  <c r="O229" i="1"/>
  <c r="Q229" i="1" s="1"/>
  <c r="P228" i="1"/>
  <c r="O228" i="1"/>
  <c r="Q228" i="1" s="1"/>
  <c r="P227" i="1"/>
  <c r="O227" i="1"/>
  <c r="Q227" i="1" s="1"/>
  <c r="P226" i="1"/>
  <c r="O226" i="1"/>
  <c r="Q226" i="1" s="1"/>
  <c r="P225" i="1"/>
  <c r="O225" i="1"/>
  <c r="Q225" i="1" s="1"/>
  <c r="P224" i="1"/>
  <c r="O224" i="1"/>
  <c r="Q224" i="1" s="1"/>
  <c r="P223" i="1"/>
  <c r="O223" i="1"/>
  <c r="Q223" i="1" s="1"/>
  <c r="P222" i="1"/>
  <c r="O222" i="1"/>
  <c r="Q222" i="1" s="1"/>
  <c r="P221" i="1"/>
  <c r="O221" i="1"/>
  <c r="Q221" i="1" s="1"/>
  <c r="P220" i="1"/>
  <c r="O220" i="1"/>
  <c r="Q220" i="1" s="1"/>
  <c r="P219" i="1"/>
  <c r="O219" i="1"/>
  <c r="Q219" i="1" s="1"/>
  <c r="P218" i="1"/>
  <c r="O218" i="1"/>
  <c r="Q218" i="1" s="1"/>
  <c r="P217" i="1"/>
  <c r="O217" i="1"/>
  <c r="Q217" i="1" s="1"/>
  <c r="P216" i="1"/>
  <c r="O216" i="1"/>
  <c r="Q216" i="1" s="1"/>
  <c r="P215" i="1"/>
  <c r="O215" i="1"/>
  <c r="Q215" i="1" s="1"/>
  <c r="P214" i="1"/>
  <c r="O214" i="1"/>
  <c r="Q214" i="1" s="1"/>
  <c r="P213" i="1"/>
  <c r="O213" i="1"/>
  <c r="Q213" i="1" s="1"/>
  <c r="P212" i="1"/>
  <c r="O212" i="1"/>
  <c r="Q212" i="1" s="1"/>
  <c r="P211" i="1"/>
  <c r="O211" i="1"/>
  <c r="Q211" i="1" s="1"/>
  <c r="P210" i="1"/>
  <c r="O210" i="1"/>
  <c r="Q210" i="1" s="1"/>
  <c r="P209" i="1"/>
  <c r="O209" i="1"/>
  <c r="Q209" i="1" s="1"/>
  <c r="P208" i="1"/>
  <c r="O208" i="1"/>
  <c r="Q208" i="1" s="1"/>
  <c r="P207" i="1"/>
  <c r="O207" i="1"/>
  <c r="Q207" i="1" s="1"/>
  <c r="P206" i="1"/>
  <c r="O206" i="1"/>
  <c r="Q206" i="1" s="1"/>
  <c r="P205" i="1"/>
  <c r="O205" i="1"/>
  <c r="Q205" i="1" s="1"/>
  <c r="P204" i="1"/>
  <c r="O204" i="1"/>
  <c r="Q204" i="1" s="1"/>
  <c r="P203" i="1"/>
  <c r="O203" i="1"/>
  <c r="Q203" i="1" s="1"/>
  <c r="P202" i="1"/>
  <c r="O202" i="1"/>
  <c r="Q202" i="1" s="1"/>
  <c r="P201" i="1"/>
  <c r="O201" i="1"/>
  <c r="Q201" i="1" s="1"/>
  <c r="P200" i="1"/>
  <c r="O200" i="1"/>
  <c r="Q200" i="1" s="1"/>
  <c r="P199" i="1"/>
  <c r="O199" i="1"/>
  <c r="Q199" i="1" s="1"/>
  <c r="P198" i="1"/>
  <c r="O198" i="1"/>
  <c r="Q198" i="1" s="1"/>
  <c r="P197" i="1"/>
  <c r="O197" i="1"/>
  <c r="Q197" i="1" s="1"/>
  <c r="P196" i="1"/>
  <c r="O196" i="1"/>
  <c r="Q196" i="1" s="1"/>
  <c r="P195" i="1"/>
  <c r="O195" i="1"/>
  <c r="Q195" i="1" s="1"/>
  <c r="P194" i="1"/>
  <c r="O194" i="1"/>
  <c r="Q194" i="1" s="1"/>
  <c r="P193" i="1"/>
  <c r="O193" i="1"/>
  <c r="Q193" i="1" s="1"/>
  <c r="P192" i="1"/>
  <c r="O192" i="1"/>
  <c r="Q192" i="1" s="1"/>
  <c r="P191" i="1"/>
  <c r="O191" i="1"/>
  <c r="Q191" i="1" s="1"/>
  <c r="P190" i="1"/>
  <c r="O190" i="1"/>
  <c r="Q190" i="1" s="1"/>
  <c r="P189" i="1"/>
  <c r="O189" i="1"/>
  <c r="Q189" i="1" s="1"/>
  <c r="P188" i="1"/>
  <c r="O188" i="1"/>
  <c r="Q188" i="1" s="1"/>
  <c r="P187" i="1"/>
  <c r="O187" i="1"/>
  <c r="Q187" i="1" s="1"/>
  <c r="P186" i="1"/>
  <c r="O186" i="1"/>
  <c r="Q186" i="1" s="1"/>
  <c r="P185" i="1"/>
  <c r="O185" i="1"/>
  <c r="Q185" i="1" s="1"/>
  <c r="P184" i="1"/>
  <c r="O184" i="1"/>
  <c r="Q184" i="1" s="1"/>
  <c r="P183" i="1"/>
  <c r="O183" i="1"/>
  <c r="Q183" i="1" s="1"/>
  <c r="P182" i="1"/>
  <c r="O182" i="1"/>
  <c r="Q182" i="1" s="1"/>
  <c r="P181" i="1"/>
  <c r="O181" i="1"/>
  <c r="Q181" i="1" s="1"/>
  <c r="P180" i="1"/>
  <c r="O180" i="1"/>
  <c r="Q180" i="1" s="1"/>
  <c r="P179" i="1"/>
  <c r="O179" i="1"/>
  <c r="Q179" i="1" s="1"/>
  <c r="P178" i="1"/>
  <c r="O178" i="1"/>
  <c r="Q178" i="1" s="1"/>
  <c r="P177" i="1"/>
  <c r="O177" i="1"/>
  <c r="Q177" i="1" s="1"/>
  <c r="P176" i="1"/>
  <c r="O176" i="1"/>
  <c r="Q176" i="1" s="1"/>
  <c r="P175" i="1"/>
  <c r="O175" i="1"/>
  <c r="Q175" i="1" s="1"/>
  <c r="P174" i="1"/>
  <c r="O174" i="1"/>
  <c r="Q174" i="1" s="1"/>
  <c r="P173" i="1"/>
  <c r="O173" i="1"/>
  <c r="Q173" i="1" s="1"/>
  <c r="P172" i="1"/>
  <c r="O172" i="1"/>
  <c r="Q172" i="1" s="1"/>
  <c r="P171" i="1"/>
  <c r="O171" i="1"/>
  <c r="Q171" i="1" s="1"/>
  <c r="P170" i="1"/>
  <c r="O170" i="1"/>
  <c r="Q170" i="1" s="1"/>
  <c r="P169" i="1"/>
  <c r="O169" i="1"/>
  <c r="Q169" i="1" s="1"/>
  <c r="P168" i="1"/>
  <c r="O168" i="1"/>
  <c r="Q168" i="1" s="1"/>
  <c r="P167" i="1"/>
  <c r="O167" i="1"/>
  <c r="Q167" i="1" s="1"/>
  <c r="P166" i="1"/>
  <c r="O166" i="1"/>
  <c r="Q166" i="1" s="1"/>
  <c r="P165" i="1"/>
  <c r="O165" i="1"/>
  <c r="Q165" i="1" s="1"/>
  <c r="P164" i="1"/>
  <c r="O164" i="1"/>
  <c r="Q164" i="1" s="1"/>
  <c r="P163" i="1"/>
  <c r="O163" i="1"/>
  <c r="Q163" i="1" s="1"/>
  <c r="P162" i="1"/>
  <c r="O162" i="1"/>
  <c r="Q162" i="1" s="1"/>
  <c r="P161" i="1"/>
  <c r="O161" i="1"/>
  <c r="Q161" i="1" s="1"/>
  <c r="P160" i="1"/>
  <c r="O160" i="1"/>
  <c r="Q160" i="1" s="1"/>
  <c r="P159" i="1"/>
  <c r="O159" i="1"/>
  <c r="Q159" i="1" s="1"/>
  <c r="P158" i="1"/>
  <c r="O158" i="1"/>
  <c r="Q158" i="1" s="1"/>
  <c r="P157" i="1"/>
  <c r="O157" i="1"/>
  <c r="Q157" i="1" s="1"/>
  <c r="P156" i="1"/>
  <c r="O156" i="1"/>
  <c r="Q156" i="1" s="1"/>
  <c r="P155" i="1"/>
  <c r="O155" i="1"/>
  <c r="Q155" i="1" s="1"/>
  <c r="P154" i="1"/>
  <c r="O154" i="1"/>
  <c r="Q154" i="1" s="1"/>
  <c r="P153" i="1"/>
  <c r="O153" i="1"/>
  <c r="Q153" i="1" s="1"/>
  <c r="P152" i="1"/>
  <c r="O152" i="1"/>
  <c r="Q152" i="1" s="1"/>
  <c r="P151" i="1"/>
  <c r="O151" i="1"/>
  <c r="Q151" i="1" s="1"/>
  <c r="P150" i="1"/>
  <c r="O150" i="1"/>
  <c r="Q150" i="1" s="1"/>
  <c r="P149" i="1"/>
  <c r="O149" i="1"/>
  <c r="Q149" i="1" s="1"/>
  <c r="P148" i="1"/>
  <c r="O148" i="1"/>
  <c r="Q148" i="1" s="1"/>
  <c r="P147" i="1"/>
  <c r="O147" i="1"/>
  <c r="Q147" i="1" s="1"/>
  <c r="P146" i="1"/>
  <c r="O146" i="1"/>
  <c r="Q146" i="1" s="1"/>
  <c r="P145" i="1"/>
  <c r="O145" i="1"/>
  <c r="Q145" i="1" s="1"/>
  <c r="P144" i="1"/>
  <c r="O144" i="1"/>
  <c r="Q144" i="1" s="1"/>
  <c r="P143" i="1"/>
  <c r="O143" i="1"/>
  <c r="Q143" i="1" s="1"/>
  <c r="P142" i="1"/>
  <c r="O142" i="1"/>
  <c r="Q142" i="1" s="1"/>
  <c r="P141" i="1"/>
  <c r="O141" i="1"/>
  <c r="Q141" i="1" s="1"/>
  <c r="P140" i="1"/>
  <c r="O140" i="1"/>
  <c r="Q140" i="1" s="1"/>
  <c r="P139" i="1"/>
  <c r="O139" i="1"/>
  <c r="Q139" i="1" s="1"/>
  <c r="P138" i="1"/>
  <c r="O138" i="1"/>
  <c r="Q138" i="1" s="1"/>
  <c r="P137" i="1"/>
  <c r="O137" i="1"/>
  <c r="Q137" i="1" s="1"/>
  <c r="P136" i="1"/>
  <c r="O136" i="1"/>
  <c r="Q136" i="1" s="1"/>
  <c r="P135" i="1"/>
  <c r="O135" i="1"/>
  <c r="Q135" i="1" s="1"/>
  <c r="P134" i="1"/>
  <c r="O134" i="1"/>
  <c r="Q134" i="1" s="1"/>
  <c r="P133" i="1"/>
  <c r="O133" i="1"/>
  <c r="Q133" i="1" s="1"/>
  <c r="P132" i="1"/>
  <c r="O132" i="1"/>
  <c r="Q132" i="1" s="1"/>
  <c r="P131" i="1"/>
  <c r="O131" i="1"/>
  <c r="Q131" i="1" s="1"/>
  <c r="P130" i="1"/>
  <c r="O130" i="1"/>
  <c r="Q130" i="1" s="1"/>
  <c r="P129" i="1"/>
  <c r="O129" i="1"/>
  <c r="Q129" i="1" s="1"/>
  <c r="P128" i="1"/>
  <c r="O128" i="1"/>
  <c r="Q128" i="1" s="1"/>
  <c r="P127" i="1"/>
  <c r="O127" i="1"/>
  <c r="Q127" i="1" s="1"/>
  <c r="P126" i="1"/>
  <c r="O126" i="1"/>
  <c r="Q126" i="1" s="1"/>
  <c r="P125" i="1"/>
  <c r="O125" i="1"/>
  <c r="Q125" i="1" s="1"/>
  <c r="P124" i="1"/>
  <c r="O124" i="1"/>
  <c r="Q124" i="1" s="1"/>
  <c r="P123" i="1"/>
  <c r="O123" i="1"/>
  <c r="Q123" i="1" s="1"/>
  <c r="P122" i="1"/>
  <c r="O122" i="1"/>
  <c r="Q122" i="1" s="1"/>
  <c r="P121" i="1"/>
  <c r="O121" i="1"/>
  <c r="Q121" i="1" s="1"/>
  <c r="P120" i="1"/>
  <c r="O120" i="1"/>
  <c r="Q120" i="1" s="1"/>
  <c r="P119" i="1"/>
  <c r="O119" i="1"/>
  <c r="Q119" i="1" s="1"/>
  <c r="P118" i="1"/>
  <c r="O118" i="1"/>
  <c r="Q118" i="1" s="1"/>
  <c r="P117" i="1"/>
  <c r="O117" i="1"/>
  <c r="Q117" i="1" s="1"/>
  <c r="P116" i="1"/>
  <c r="O116" i="1"/>
  <c r="Q116" i="1" s="1"/>
  <c r="P115" i="1"/>
  <c r="O115" i="1"/>
  <c r="Q115" i="1" s="1"/>
  <c r="P114" i="1"/>
  <c r="O114" i="1"/>
  <c r="Q114" i="1" s="1"/>
  <c r="P113" i="1"/>
  <c r="O113" i="1"/>
  <c r="Q113" i="1" s="1"/>
  <c r="P112" i="1"/>
  <c r="O112" i="1"/>
  <c r="Q112" i="1" s="1"/>
  <c r="P111" i="1"/>
  <c r="O111" i="1"/>
  <c r="Q111" i="1" s="1"/>
  <c r="P110" i="1"/>
  <c r="O110" i="1"/>
  <c r="Q110" i="1" s="1"/>
  <c r="P109" i="1"/>
  <c r="O109" i="1"/>
  <c r="Q109" i="1" s="1"/>
  <c r="P108" i="1"/>
  <c r="O108" i="1"/>
  <c r="Q108" i="1" s="1"/>
  <c r="P107" i="1"/>
  <c r="O107" i="1"/>
  <c r="Q107" i="1" s="1"/>
  <c r="P106" i="1"/>
  <c r="O106" i="1"/>
  <c r="Q106" i="1" s="1"/>
  <c r="P105" i="1"/>
  <c r="O105" i="1"/>
  <c r="Q105" i="1" s="1"/>
  <c r="P104" i="1"/>
  <c r="O104" i="1"/>
  <c r="Q104" i="1" s="1"/>
  <c r="P103" i="1"/>
  <c r="O103" i="1"/>
  <c r="Q103" i="1" s="1"/>
  <c r="P102" i="1"/>
  <c r="O102" i="1"/>
  <c r="Q102" i="1" s="1"/>
  <c r="P101" i="1"/>
  <c r="O101" i="1"/>
  <c r="Q101" i="1" s="1"/>
  <c r="P100" i="1"/>
  <c r="O100" i="1"/>
  <c r="Q100" i="1" s="1"/>
  <c r="P99" i="1"/>
  <c r="O99" i="1"/>
  <c r="Q99" i="1" s="1"/>
  <c r="P98" i="1"/>
  <c r="O98" i="1"/>
  <c r="Q98" i="1" s="1"/>
  <c r="P97" i="1"/>
  <c r="O97" i="1"/>
  <c r="Q97" i="1" s="1"/>
  <c r="P96" i="1"/>
  <c r="O96" i="1"/>
  <c r="Q96" i="1" s="1"/>
  <c r="P95" i="1"/>
  <c r="O95" i="1"/>
  <c r="Q95" i="1" s="1"/>
  <c r="P94" i="1"/>
  <c r="O94" i="1"/>
  <c r="Q94" i="1" s="1"/>
  <c r="P93" i="1"/>
  <c r="O93" i="1"/>
  <c r="Q93" i="1" s="1"/>
  <c r="P92" i="1"/>
  <c r="O92" i="1"/>
  <c r="Q92" i="1" s="1"/>
  <c r="P91" i="1"/>
  <c r="O91" i="1"/>
  <c r="Q91" i="1" s="1"/>
  <c r="P90" i="1"/>
  <c r="O90" i="1"/>
  <c r="Q90" i="1" s="1"/>
  <c r="P89" i="1"/>
  <c r="O89" i="1"/>
  <c r="Q89" i="1" s="1"/>
  <c r="P88" i="1"/>
  <c r="O88" i="1"/>
  <c r="Q88" i="1" s="1"/>
  <c r="P87" i="1"/>
  <c r="O87" i="1"/>
  <c r="Q87" i="1" s="1"/>
  <c r="P86" i="1"/>
  <c r="O86" i="1"/>
  <c r="Q86" i="1" s="1"/>
  <c r="P85" i="1"/>
  <c r="O85" i="1"/>
  <c r="Q85" i="1" s="1"/>
  <c r="P84" i="1"/>
  <c r="O84" i="1"/>
  <c r="Q84" i="1" s="1"/>
  <c r="P83" i="1"/>
  <c r="O83" i="1"/>
  <c r="Q83" i="1" s="1"/>
  <c r="P82" i="1"/>
  <c r="O82" i="1"/>
  <c r="Q82" i="1" s="1"/>
  <c r="P81" i="1"/>
  <c r="O81" i="1"/>
  <c r="Q81" i="1" s="1"/>
  <c r="P80" i="1"/>
  <c r="O80" i="1"/>
  <c r="Q80" i="1" s="1"/>
  <c r="P79" i="1"/>
  <c r="O79" i="1"/>
  <c r="Q79" i="1" s="1"/>
  <c r="P78" i="1"/>
  <c r="O78" i="1"/>
  <c r="Q78" i="1" s="1"/>
  <c r="P77" i="1"/>
  <c r="O77" i="1"/>
  <c r="Q77" i="1" s="1"/>
  <c r="P76" i="1"/>
  <c r="O76" i="1"/>
  <c r="Q76" i="1" s="1"/>
  <c r="P75" i="1"/>
  <c r="O75" i="1"/>
  <c r="Q75" i="1" s="1"/>
  <c r="P74" i="1"/>
  <c r="O74" i="1"/>
  <c r="Q74" i="1" s="1"/>
  <c r="P73" i="1"/>
  <c r="O73" i="1"/>
  <c r="Q73" i="1" s="1"/>
  <c r="P72" i="1"/>
  <c r="O72" i="1"/>
  <c r="Q72" i="1" s="1"/>
  <c r="P71" i="1"/>
  <c r="O71" i="1"/>
  <c r="Q71" i="1" s="1"/>
  <c r="P70" i="1"/>
  <c r="O70" i="1"/>
  <c r="Q70" i="1" s="1"/>
  <c r="P69" i="1"/>
  <c r="O69" i="1"/>
  <c r="Q69" i="1" s="1"/>
  <c r="P68" i="1"/>
  <c r="O68" i="1"/>
  <c r="Q68" i="1" s="1"/>
  <c r="P67" i="1"/>
  <c r="O67" i="1"/>
  <c r="Q67" i="1" s="1"/>
  <c r="P66" i="1"/>
  <c r="O66" i="1"/>
  <c r="Q66" i="1" s="1"/>
  <c r="P65" i="1"/>
  <c r="O65" i="1"/>
  <c r="Q65" i="1" s="1"/>
  <c r="P64" i="1"/>
  <c r="O64" i="1"/>
  <c r="Q64" i="1" s="1"/>
  <c r="P63" i="1"/>
  <c r="O63" i="1"/>
  <c r="Q63" i="1" s="1"/>
  <c r="P62" i="1"/>
  <c r="O62" i="1"/>
  <c r="Q62" i="1" s="1"/>
  <c r="P61" i="1"/>
  <c r="O61" i="1"/>
  <c r="Q61" i="1" s="1"/>
  <c r="P60" i="1"/>
  <c r="O60" i="1"/>
  <c r="Q60" i="1" s="1"/>
  <c r="P59" i="1"/>
  <c r="O59" i="1"/>
  <c r="Q59" i="1" s="1"/>
  <c r="P58" i="1"/>
  <c r="O58" i="1"/>
  <c r="Q58" i="1" s="1"/>
  <c r="P57" i="1"/>
  <c r="O57" i="1"/>
  <c r="Q57" i="1" s="1"/>
  <c r="P56" i="1"/>
  <c r="O56" i="1"/>
  <c r="Q56" i="1" s="1"/>
  <c r="B79" i="1"/>
  <c r="B80" i="1" s="1"/>
  <c r="P55" i="1"/>
  <c r="O55" i="1"/>
  <c r="Q55" i="1" s="1"/>
  <c r="P54" i="1"/>
  <c r="O54" i="1"/>
  <c r="Q54" i="1" s="1"/>
  <c r="P53" i="1"/>
  <c r="O53" i="1"/>
  <c r="Q53" i="1" s="1"/>
  <c r="P52" i="1"/>
  <c r="O52" i="1"/>
  <c r="Q52" i="1" s="1"/>
  <c r="P51" i="1"/>
  <c r="O51" i="1"/>
  <c r="Q51" i="1" s="1"/>
  <c r="P50" i="1"/>
  <c r="O50" i="1"/>
  <c r="Q50" i="1" s="1"/>
  <c r="P49" i="1"/>
  <c r="O49" i="1"/>
  <c r="Q49" i="1" s="1"/>
  <c r="B72" i="1"/>
  <c r="P48" i="1"/>
  <c r="O48" i="1"/>
  <c r="Q48" i="1" s="1"/>
  <c r="P47" i="1"/>
  <c r="O47" i="1"/>
  <c r="Q47" i="1" s="1"/>
  <c r="B70" i="1"/>
  <c r="P46" i="1"/>
  <c r="O46" i="1"/>
  <c r="Q46" i="1" s="1"/>
  <c r="P45" i="1"/>
  <c r="O45" i="1"/>
  <c r="Q45" i="1" s="1"/>
  <c r="P44" i="1"/>
  <c r="O44" i="1"/>
  <c r="Q44" i="1" s="1"/>
  <c r="P43" i="1"/>
  <c r="O43" i="1"/>
  <c r="Q43" i="1" s="1"/>
  <c r="P42" i="1"/>
  <c r="O42" i="1"/>
  <c r="P41" i="1"/>
  <c r="O41" i="1"/>
  <c r="Q41" i="1" s="1"/>
  <c r="P40" i="1"/>
  <c r="O40" i="1"/>
  <c r="Q40" i="1" s="1"/>
  <c r="P39" i="1"/>
  <c r="O39" i="1"/>
  <c r="Q39" i="1" s="1"/>
  <c r="P38" i="1"/>
  <c r="O38" i="1"/>
  <c r="Q38" i="1" s="1"/>
  <c r="P37" i="1"/>
  <c r="O37" i="1"/>
  <c r="Q37" i="1" s="1"/>
  <c r="P36" i="1"/>
  <c r="O36" i="1"/>
  <c r="Q36" i="1" s="1"/>
  <c r="P35" i="1"/>
  <c r="O35" i="1"/>
  <c r="Q35" i="1" s="1"/>
  <c r="P34" i="1"/>
  <c r="O34" i="1"/>
  <c r="Q34" i="1" s="1"/>
  <c r="B60" i="1"/>
  <c r="P33" i="1"/>
  <c r="O33" i="1"/>
  <c r="Q33" i="1" s="1"/>
  <c r="P32" i="1"/>
  <c r="O32" i="1"/>
  <c r="Q32" i="1" s="1"/>
  <c r="P31" i="1"/>
  <c r="O31" i="1"/>
  <c r="Q31" i="1" s="1"/>
  <c r="P30" i="1"/>
  <c r="O30" i="1"/>
  <c r="Q30" i="1" s="1"/>
  <c r="P29" i="1"/>
  <c r="O29" i="1"/>
  <c r="Q29" i="1" s="1"/>
  <c r="P28" i="1"/>
  <c r="O28" i="1"/>
  <c r="Q28" i="1" s="1"/>
  <c r="P27" i="1"/>
  <c r="O27" i="1"/>
  <c r="Q27" i="1" s="1"/>
  <c r="P26" i="1"/>
  <c r="O26" i="1"/>
  <c r="Q26" i="1" s="1"/>
  <c r="P25" i="1"/>
  <c r="O25" i="1"/>
  <c r="Q25" i="1" s="1"/>
  <c r="P24" i="1"/>
  <c r="O24" i="1"/>
  <c r="Q24" i="1" s="1"/>
  <c r="P23" i="1"/>
  <c r="O23" i="1"/>
  <c r="Q23" i="1" s="1"/>
  <c r="P22" i="1"/>
  <c r="O22" i="1"/>
  <c r="Q22" i="1" s="1"/>
  <c r="P21" i="1"/>
  <c r="O21" i="1"/>
  <c r="Q21" i="1" s="1"/>
  <c r="P20" i="1"/>
  <c r="O20" i="1"/>
  <c r="Q20" i="1" s="1"/>
  <c r="P19" i="1"/>
  <c r="O19" i="1"/>
  <c r="Q19" i="1" s="1"/>
  <c r="P18" i="1"/>
  <c r="O18" i="1"/>
  <c r="Q18" i="1" s="1"/>
  <c r="P17" i="1"/>
  <c r="O17" i="1"/>
  <c r="Q17" i="1" s="1"/>
  <c r="P16" i="1"/>
  <c r="O16" i="1"/>
  <c r="Q16" i="1" s="1"/>
  <c r="P15" i="1"/>
  <c r="O15" i="1"/>
  <c r="Q15" i="1" s="1"/>
  <c r="P14" i="1"/>
  <c r="O14" i="1"/>
  <c r="Q14" i="1" s="1"/>
  <c r="P13" i="1"/>
  <c r="O13" i="1"/>
  <c r="Q13" i="1" s="1"/>
  <c r="P12" i="1"/>
  <c r="O12" i="1"/>
  <c r="Q12" i="1" s="1"/>
  <c r="P11" i="1"/>
  <c r="O11" i="1"/>
  <c r="Q11" i="1" s="1"/>
  <c r="B13" i="1"/>
  <c r="P10" i="1"/>
  <c r="O10" i="1"/>
  <c r="Q10" i="1" s="1"/>
  <c r="P9" i="1"/>
  <c r="O9" i="1"/>
  <c r="Q9" i="1" s="1"/>
  <c r="P8" i="1"/>
  <c r="O8" i="1"/>
  <c r="Q8" i="1" s="1"/>
  <c r="P7" i="1"/>
  <c r="O7" i="1"/>
  <c r="Q7" i="1" s="1"/>
  <c r="P6" i="1"/>
  <c r="O6" i="1"/>
  <c r="L65" i="1" l="1"/>
  <c r="L64" i="1"/>
  <c r="D64" i="1" s="1"/>
  <c r="L66" i="1"/>
  <c r="AB38" i="1"/>
  <c r="AN38" i="1" s="1"/>
  <c r="AB39" i="1"/>
  <c r="AN39" i="1" s="1"/>
  <c r="AB40" i="1"/>
  <c r="AN40" i="1" s="1"/>
  <c r="AB41" i="1"/>
  <c r="AB35" i="1"/>
  <c r="AN35" i="1" s="1"/>
  <c r="AB36" i="1"/>
  <c r="AN36" i="1" s="1"/>
  <c r="AB37" i="1"/>
  <c r="AN37" i="1" s="1"/>
  <c r="X35" i="1"/>
  <c r="Z35" i="1" s="1"/>
  <c r="Y35" i="1" s="1"/>
  <c r="X36" i="1"/>
  <c r="Z36" i="1" s="1"/>
  <c r="Y36" i="1" s="1"/>
  <c r="X37" i="1"/>
  <c r="Z37" i="1" s="1"/>
  <c r="Y37" i="1" s="1"/>
  <c r="R6" i="1"/>
  <c r="S6" i="1" s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N34" i="1" s="1"/>
  <c r="R628" i="1"/>
  <c r="T628" i="1" s="1"/>
  <c r="X6" i="1"/>
  <c r="Z6" i="1" s="1"/>
  <c r="Y6" i="1" s="1"/>
  <c r="AK6" i="1" s="1"/>
  <c r="X7" i="1"/>
  <c r="Z7" i="1" s="1"/>
  <c r="Y7" i="1" s="1"/>
  <c r="X8" i="1"/>
  <c r="Z8" i="1" s="1"/>
  <c r="Y8" i="1" s="1"/>
  <c r="X9" i="1"/>
  <c r="Z9" i="1" s="1"/>
  <c r="Y9" i="1" s="1"/>
  <c r="X10" i="1"/>
  <c r="Z10" i="1" s="1"/>
  <c r="Y10" i="1" s="1"/>
  <c r="X11" i="1"/>
  <c r="Z11" i="1" s="1"/>
  <c r="Y11" i="1" s="1"/>
  <c r="X12" i="1"/>
  <c r="Z12" i="1" s="1"/>
  <c r="Y12" i="1" s="1"/>
  <c r="X13" i="1"/>
  <c r="Z13" i="1" s="1"/>
  <c r="Y13" i="1" s="1"/>
  <c r="X14" i="1"/>
  <c r="Z14" i="1" s="1"/>
  <c r="Y14" i="1" s="1"/>
  <c r="X15" i="1"/>
  <c r="Z15" i="1" s="1"/>
  <c r="Y15" i="1" s="1"/>
  <c r="X16" i="1"/>
  <c r="Z16" i="1" s="1"/>
  <c r="Y16" i="1" s="1"/>
  <c r="X17" i="1"/>
  <c r="Z17" i="1" s="1"/>
  <c r="Y17" i="1" s="1"/>
  <c r="X18" i="1"/>
  <c r="Z18" i="1" s="1"/>
  <c r="Y18" i="1" s="1"/>
  <c r="X19" i="1"/>
  <c r="Z19" i="1" s="1"/>
  <c r="Y19" i="1" s="1"/>
  <c r="X20" i="1"/>
  <c r="Z20" i="1" s="1"/>
  <c r="Y20" i="1" s="1"/>
  <c r="X21" i="1"/>
  <c r="Z21" i="1" s="1"/>
  <c r="Y21" i="1" s="1"/>
  <c r="X22" i="1"/>
  <c r="Z22" i="1" s="1"/>
  <c r="Y22" i="1" s="1"/>
  <c r="X23" i="1"/>
  <c r="Z23" i="1" s="1"/>
  <c r="Y23" i="1" s="1"/>
  <c r="X24" i="1"/>
  <c r="Z24" i="1" s="1"/>
  <c r="Y24" i="1" s="1"/>
  <c r="X25" i="1"/>
  <c r="Z25" i="1" s="1"/>
  <c r="Y25" i="1" s="1"/>
  <c r="X26" i="1"/>
  <c r="Z26" i="1" s="1"/>
  <c r="Y26" i="1" s="1"/>
  <c r="X27" i="1"/>
  <c r="Z27" i="1" s="1"/>
  <c r="Y27" i="1" s="1"/>
  <c r="X28" i="1"/>
  <c r="Z28" i="1" s="1"/>
  <c r="Y28" i="1" s="1"/>
  <c r="X29" i="1"/>
  <c r="Z29" i="1" s="1"/>
  <c r="Y29" i="1" s="1"/>
  <c r="X30" i="1"/>
  <c r="Z30" i="1" s="1"/>
  <c r="Y30" i="1" s="1"/>
  <c r="X31" i="1"/>
  <c r="Z31" i="1" s="1"/>
  <c r="Y31" i="1" s="1"/>
  <c r="X32" i="1"/>
  <c r="Z32" i="1" s="1"/>
  <c r="Y32" i="1" s="1"/>
  <c r="X33" i="1"/>
  <c r="Z33" i="1" s="1"/>
  <c r="Y33" i="1" s="1"/>
  <c r="X34" i="1"/>
  <c r="Z34" i="1" s="1"/>
  <c r="Y34" i="1" s="1"/>
  <c r="Q306" i="1"/>
  <c r="R648" i="1"/>
  <c r="S648" i="1" s="1"/>
  <c r="R627" i="1"/>
  <c r="R615" i="1"/>
  <c r="R664" i="1"/>
  <c r="R662" i="1"/>
  <c r="R644" i="1"/>
  <c r="T644" i="1" s="1"/>
  <c r="R636" i="1"/>
  <c r="S636" i="1" s="1"/>
  <c r="R632" i="1"/>
  <c r="T632" i="1" s="1"/>
  <c r="R624" i="1"/>
  <c r="S624" i="1" s="1"/>
  <c r="R618" i="1"/>
  <c r="T618" i="1" s="1"/>
  <c r="R612" i="1"/>
  <c r="S612" i="1" s="1"/>
  <c r="R652" i="1"/>
  <c r="R650" i="1"/>
  <c r="R620" i="1"/>
  <c r="T620" i="1" s="1"/>
  <c r="R608" i="1"/>
  <c r="T608" i="1" s="1"/>
  <c r="R670" i="1"/>
  <c r="S670" i="1" s="1"/>
  <c r="R667" i="1"/>
  <c r="S667" i="1" s="1"/>
  <c r="R638" i="1"/>
  <c r="S638" i="1" s="1"/>
  <c r="R640" i="1"/>
  <c r="R626" i="1"/>
  <c r="S626" i="1" s="1"/>
  <c r="R614" i="1"/>
  <c r="S614" i="1" s="1"/>
  <c r="R661" i="1"/>
  <c r="R658" i="1"/>
  <c r="T658" i="1" s="1"/>
  <c r="R655" i="1"/>
  <c r="T655" i="1" s="1"/>
  <c r="R14" i="1"/>
  <c r="T14" i="1" s="1"/>
  <c r="R663" i="1"/>
  <c r="R616" i="1"/>
  <c r="S616" i="1" s="1"/>
  <c r="R649" i="1"/>
  <c r="R646" i="1"/>
  <c r="T646" i="1" s="1"/>
  <c r="R643" i="1"/>
  <c r="S643" i="1" s="1"/>
  <c r="R668" i="1"/>
  <c r="T668" i="1" s="1"/>
  <c r="R651" i="1"/>
  <c r="R637" i="1"/>
  <c r="R634" i="1"/>
  <c r="S634" i="1" s="1"/>
  <c r="R631" i="1"/>
  <c r="S631" i="1" s="1"/>
  <c r="R660" i="1"/>
  <c r="S660" i="1" s="1"/>
  <c r="R625" i="1"/>
  <c r="R622" i="1"/>
  <c r="S622" i="1" s="1"/>
  <c r="R619" i="1"/>
  <c r="S619" i="1" s="1"/>
  <c r="R613" i="1"/>
  <c r="R610" i="1"/>
  <c r="T610" i="1" s="1"/>
  <c r="R656" i="1"/>
  <c r="T656" i="1" s="1"/>
  <c r="R639" i="1"/>
  <c r="Q670" i="1"/>
  <c r="Q658" i="1"/>
  <c r="Q646" i="1"/>
  <c r="Q634" i="1"/>
  <c r="Q622" i="1"/>
  <c r="Q610" i="1"/>
  <c r="R666" i="1"/>
  <c r="R654" i="1"/>
  <c r="R642" i="1"/>
  <c r="R630" i="1"/>
  <c r="R671" i="1"/>
  <c r="R659" i="1"/>
  <c r="R647" i="1"/>
  <c r="R635" i="1"/>
  <c r="R623" i="1"/>
  <c r="R611" i="1"/>
  <c r="R669" i="1"/>
  <c r="R657" i="1"/>
  <c r="R645" i="1"/>
  <c r="R633" i="1"/>
  <c r="R621" i="1"/>
  <c r="R609" i="1"/>
  <c r="R607" i="1"/>
  <c r="R665" i="1"/>
  <c r="R653" i="1"/>
  <c r="R641" i="1"/>
  <c r="R629" i="1"/>
  <c r="R617" i="1"/>
  <c r="R29" i="1"/>
  <c r="T29" i="1" s="1"/>
  <c r="R8" i="1"/>
  <c r="S8" i="1" s="1"/>
  <c r="R9" i="1"/>
  <c r="S9" i="1" s="1"/>
  <c r="R13" i="1"/>
  <c r="T13" i="1" s="1"/>
  <c r="R7" i="1"/>
  <c r="T7" i="1" s="1"/>
  <c r="B15" i="1"/>
  <c r="B17" i="1" s="1"/>
  <c r="R12" i="1"/>
  <c r="R33" i="1"/>
  <c r="R45" i="1"/>
  <c r="R21" i="1"/>
  <c r="R19" i="1"/>
  <c r="R20" i="1"/>
  <c r="R43" i="1"/>
  <c r="R18" i="1"/>
  <c r="S18" i="1" s="1"/>
  <c r="R15" i="1"/>
  <c r="R17" i="1"/>
  <c r="R26" i="1"/>
  <c r="R32" i="1"/>
  <c r="R35" i="1"/>
  <c r="R46" i="1"/>
  <c r="R27" i="1"/>
  <c r="R28" i="1"/>
  <c r="R31" i="1"/>
  <c r="Q42" i="1"/>
  <c r="R605" i="1"/>
  <c r="R603" i="1"/>
  <c r="R601" i="1"/>
  <c r="R599" i="1"/>
  <c r="R597" i="1"/>
  <c r="R595" i="1"/>
  <c r="R593" i="1"/>
  <c r="R591" i="1"/>
  <c r="R589" i="1"/>
  <c r="R587" i="1"/>
  <c r="R585" i="1"/>
  <c r="R583" i="1"/>
  <c r="R581" i="1"/>
  <c r="R579" i="1"/>
  <c r="R577" i="1"/>
  <c r="R575" i="1"/>
  <c r="R573" i="1"/>
  <c r="R571" i="1"/>
  <c r="R569" i="1"/>
  <c r="R567" i="1"/>
  <c r="R565" i="1"/>
  <c r="R563" i="1"/>
  <c r="R561" i="1"/>
  <c r="R559" i="1"/>
  <c r="R557" i="1"/>
  <c r="R555" i="1"/>
  <c r="R553" i="1"/>
  <c r="R551" i="1"/>
  <c r="R549" i="1"/>
  <c r="R547" i="1"/>
  <c r="R545" i="1"/>
  <c r="R543" i="1"/>
  <c r="R541" i="1"/>
  <c r="R539" i="1"/>
  <c r="R537" i="1"/>
  <c r="R535" i="1"/>
  <c r="R533" i="1"/>
  <c r="R531" i="1"/>
  <c r="R529" i="1"/>
  <c r="R527" i="1"/>
  <c r="R525" i="1"/>
  <c r="R523" i="1"/>
  <c r="R521" i="1"/>
  <c r="R519" i="1"/>
  <c r="R517" i="1"/>
  <c r="R515" i="1"/>
  <c r="R513" i="1"/>
  <c r="R511" i="1"/>
  <c r="R509" i="1"/>
  <c r="R507" i="1"/>
  <c r="R505" i="1"/>
  <c r="R503" i="1"/>
  <c r="R501" i="1"/>
  <c r="R499" i="1"/>
  <c r="R497" i="1"/>
  <c r="R495" i="1"/>
  <c r="R493" i="1"/>
  <c r="R600" i="1"/>
  <c r="R479" i="1"/>
  <c r="R467" i="1"/>
  <c r="R604" i="1"/>
  <c r="R594" i="1"/>
  <c r="R590" i="1"/>
  <c r="R586" i="1"/>
  <c r="R582" i="1"/>
  <c r="R578" i="1"/>
  <c r="R574" i="1"/>
  <c r="R570" i="1"/>
  <c r="R566" i="1"/>
  <c r="R562" i="1"/>
  <c r="R558" i="1"/>
  <c r="R554" i="1"/>
  <c r="R550" i="1"/>
  <c r="R546" i="1"/>
  <c r="R542" i="1"/>
  <c r="R538" i="1"/>
  <c r="R534" i="1"/>
  <c r="R530" i="1"/>
  <c r="R526" i="1"/>
  <c r="R522" i="1"/>
  <c r="R518" i="1"/>
  <c r="R514" i="1"/>
  <c r="R510" i="1"/>
  <c r="R486" i="1"/>
  <c r="R481" i="1"/>
  <c r="R506" i="1"/>
  <c r="R500" i="1"/>
  <c r="R494" i="1"/>
  <c r="R476" i="1"/>
  <c r="R464" i="1"/>
  <c r="R598" i="1"/>
  <c r="R488" i="1"/>
  <c r="R478" i="1"/>
  <c r="R466" i="1"/>
  <c r="R459" i="1"/>
  <c r="R457" i="1"/>
  <c r="R455" i="1"/>
  <c r="R453" i="1"/>
  <c r="R451" i="1"/>
  <c r="R449" i="1"/>
  <c r="R447" i="1"/>
  <c r="R445" i="1"/>
  <c r="R443" i="1"/>
  <c r="R441" i="1"/>
  <c r="R439" i="1"/>
  <c r="R437" i="1"/>
  <c r="R435" i="1"/>
  <c r="R433" i="1"/>
  <c r="R431" i="1"/>
  <c r="R429" i="1"/>
  <c r="R427" i="1"/>
  <c r="R425" i="1"/>
  <c r="R423" i="1"/>
  <c r="R421" i="1"/>
  <c r="R419" i="1"/>
  <c r="R417" i="1"/>
  <c r="R415" i="1"/>
  <c r="R413" i="1"/>
  <c r="R411" i="1"/>
  <c r="R409" i="1"/>
  <c r="R407" i="1"/>
  <c r="R405" i="1"/>
  <c r="R403" i="1"/>
  <c r="R401" i="1"/>
  <c r="R399" i="1"/>
  <c r="R397" i="1"/>
  <c r="R395" i="1"/>
  <c r="R602" i="1"/>
  <c r="R473" i="1"/>
  <c r="R461" i="1"/>
  <c r="R596" i="1"/>
  <c r="R482" i="1"/>
  <c r="R470" i="1"/>
  <c r="R606" i="1"/>
  <c r="R490" i="1"/>
  <c r="R463" i="1"/>
  <c r="R588" i="1"/>
  <c r="R572" i="1"/>
  <c r="R556" i="1"/>
  <c r="R540" i="1"/>
  <c r="R489" i="1"/>
  <c r="R475" i="1"/>
  <c r="R465" i="1"/>
  <c r="R462" i="1"/>
  <c r="R452" i="1"/>
  <c r="R422" i="1"/>
  <c r="R414" i="1"/>
  <c r="R406" i="1"/>
  <c r="R398" i="1"/>
  <c r="R388" i="1"/>
  <c r="R376" i="1"/>
  <c r="R364" i="1"/>
  <c r="R352" i="1"/>
  <c r="R339" i="1"/>
  <c r="R328" i="1"/>
  <c r="R592" i="1"/>
  <c r="R576" i="1"/>
  <c r="R560" i="1"/>
  <c r="R544" i="1"/>
  <c r="R528" i="1"/>
  <c r="R512" i="1"/>
  <c r="R471" i="1"/>
  <c r="R390" i="1"/>
  <c r="R378" i="1"/>
  <c r="R366" i="1"/>
  <c r="R354" i="1"/>
  <c r="R343" i="1"/>
  <c r="R332" i="1"/>
  <c r="R319" i="1"/>
  <c r="R308" i="1"/>
  <c r="R306" i="1"/>
  <c r="R304" i="1"/>
  <c r="R302" i="1"/>
  <c r="R300" i="1"/>
  <c r="R298" i="1"/>
  <c r="R296" i="1"/>
  <c r="R294" i="1"/>
  <c r="R292" i="1"/>
  <c r="R290" i="1"/>
  <c r="R288" i="1"/>
  <c r="R286" i="1"/>
  <c r="R284" i="1"/>
  <c r="R282" i="1"/>
  <c r="R280" i="1"/>
  <c r="R278" i="1"/>
  <c r="R276" i="1"/>
  <c r="R274" i="1"/>
  <c r="R272" i="1"/>
  <c r="R270" i="1"/>
  <c r="R268" i="1"/>
  <c r="R266" i="1"/>
  <c r="R264" i="1"/>
  <c r="R262" i="1"/>
  <c r="R260" i="1"/>
  <c r="R258" i="1"/>
  <c r="R256" i="1"/>
  <c r="R254" i="1"/>
  <c r="R252" i="1"/>
  <c r="R250" i="1"/>
  <c r="R248" i="1"/>
  <c r="R246" i="1"/>
  <c r="R244" i="1"/>
  <c r="R242" i="1"/>
  <c r="R240" i="1"/>
  <c r="R238" i="1"/>
  <c r="R236" i="1"/>
  <c r="R234" i="1"/>
  <c r="R232" i="1"/>
  <c r="R230" i="1"/>
  <c r="R228" i="1"/>
  <c r="R492" i="1"/>
  <c r="R484" i="1"/>
  <c r="R477" i="1"/>
  <c r="R474" i="1"/>
  <c r="R458" i="1"/>
  <c r="R480" i="1"/>
  <c r="R392" i="1"/>
  <c r="R380" i="1"/>
  <c r="R368" i="1"/>
  <c r="R356" i="1"/>
  <c r="R347" i="1"/>
  <c r="R336" i="1"/>
  <c r="R323" i="1"/>
  <c r="R312" i="1"/>
  <c r="R580" i="1"/>
  <c r="R564" i="1"/>
  <c r="R548" i="1"/>
  <c r="R532" i="1"/>
  <c r="R516" i="1"/>
  <c r="R502" i="1"/>
  <c r="R487" i="1"/>
  <c r="R454" i="1"/>
  <c r="R387" i="1"/>
  <c r="R375" i="1"/>
  <c r="R363" i="1"/>
  <c r="R349" i="1"/>
  <c r="R498" i="1"/>
  <c r="R450" i="1"/>
  <c r="R444" i="1"/>
  <c r="R438" i="1"/>
  <c r="R432" i="1"/>
  <c r="R426" i="1"/>
  <c r="R389" i="1"/>
  <c r="R377" i="1"/>
  <c r="R365" i="1"/>
  <c r="R353" i="1"/>
  <c r="R342" i="1"/>
  <c r="R329" i="1"/>
  <c r="R318" i="1"/>
  <c r="R524" i="1"/>
  <c r="R446" i="1"/>
  <c r="R420" i="1"/>
  <c r="R396" i="1"/>
  <c r="R371" i="1"/>
  <c r="R362" i="1"/>
  <c r="R305" i="1"/>
  <c r="R442" i="1"/>
  <c r="R552" i="1"/>
  <c r="R483" i="1"/>
  <c r="R434" i="1"/>
  <c r="R416" i="1"/>
  <c r="R383" i="1"/>
  <c r="R358" i="1"/>
  <c r="R341" i="1"/>
  <c r="R338" i="1"/>
  <c r="R333" i="1"/>
  <c r="R317" i="1"/>
  <c r="R285" i="1"/>
  <c r="R261" i="1"/>
  <c r="R237" i="1"/>
  <c r="R430" i="1"/>
  <c r="R402" i="1"/>
  <c r="R386" i="1"/>
  <c r="R370" i="1"/>
  <c r="R355" i="1"/>
  <c r="R330" i="1"/>
  <c r="R322" i="1"/>
  <c r="R314" i="1"/>
  <c r="R309" i="1"/>
  <c r="R287" i="1"/>
  <c r="R263" i="1"/>
  <c r="R239" i="1"/>
  <c r="R226" i="1"/>
  <c r="R224" i="1"/>
  <c r="R222" i="1"/>
  <c r="R220" i="1"/>
  <c r="R218" i="1"/>
  <c r="R216" i="1"/>
  <c r="R214" i="1"/>
  <c r="R212" i="1"/>
  <c r="R210" i="1"/>
  <c r="R208" i="1"/>
  <c r="R206" i="1"/>
  <c r="R204" i="1"/>
  <c r="R202" i="1"/>
  <c r="R200" i="1"/>
  <c r="R198" i="1"/>
  <c r="R196" i="1"/>
  <c r="R194" i="1"/>
  <c r="R192" i="1"/>
  <c r="R190" i="1"/>
  <c r="R188" i="1"/>
  <c r="R186" i="1"/>
  <c r="R184" i="1"/>
  <c r="R182" i="1"/>
  <c r="R180" i="1"/>
  <c r="R178" i="1"/>
  <c r="R176" i="1"/>
  <c r="R174" i="1"/>
  <c r="R172" i="1"/>
  <c r="R170" i="1"/>
  <c r="R168" i="1"/>
  <c r="R166" i="1"/>
  <c r="R164" i="1"/>
  <c r="R162" i="1"/>
  <c r="R160" i="1"/>
  <c r="R158" i="1"/>
  <c r="R156" i="1"/>
  <c r="R154" i="1"/>
  <c r="R152" i="1"/>
  <c r="R150" i="1"/>
  <c r="R412" i="1"/>
  <c r="R367" i="1"/>
  <c r="R361" i="1"/>
  <c r="R327" i="1"/>
  <c r="R568" i="1"/>
  <c r="R469" i="1"/>
  <c r="R382" i="1"/>
  <c r="R379" i="1"/>
  <c r="R373" i="1"/>
  <c r="R346" i="1"/>
  <c r="R291" i="1"/>
  <c r="R267" i="1"/>
  <c r="R243" i="1"/>
  <c r="R496" i="1"/>
  <c r="R456" i="1"/>
  <c r="R448" i="1"/>
  <c r="R408" i="1"/>
  <c r="R357" i="1"/>
  <c r="R340" i="1"/>
  <c r="R335" i="1"/>
  <c r="R324" i="1"/>
  <c r="R316" i="1"/>
  <c r="R293" i="1"/>
  <c r="R269" i="1"/>
  <c r="R491" i="1"/>
  <c r="R460" i="1"/>
  <c r="R440" i="1"/>
  <c r="R418" i="1"/>
  <c r="R394" i="1"/>
  <c r="R391" i="1"/>
  <c r="R385" i="1"/>
  <c r="R369" i="1"/>
  <c r="R360" i="1"/>
  <c r="R351" i="1"/>
  <c r="R311" i="1"/>
  <c r="R295" i="1"/>
  <c r="R271" i="1"/>
  <c r="R247" i="1"/>
  <c r="R584" i="1"/>
  <c r="R468" i="1"/>
  <c r="R436" i="1"/>
  <c r="R404" i="1"/>
  <c r="R372" i="1"/>
  <c r="R348" i="1"/>
  <c r="R337" i="1"/>
  <c r="R326" i="1"/>
  <c r="R321" i="1"/>
  <c r="R297" i="1"/>
  <c r="R273" i="1"/>
  <c r="R249" i="1"/>
  <c r="R520" i="1"/>
  <c r="R504" i="1"/>
  <c r="R485" i="1"/>
  <c r="R472" i="1"/>
  <c r="R428" i="1"/>
  <c r="R536" i="1"/>
  <c r="R410" i="1"/>
  <c r="R393" i="1"/>
  <c r="R359" i="1"/>
  <c r="R350" i="1"/>
  <c r="R331" i="1"/>
  <c r="R320" i="1"/>
  <c r="R315" i="1"/>
  <c r="R310" i="1"/>
  <c r="R303" i="1"/>
  <c r="R279" i="1"/>
  <c r="R307" i="1"/>
  <c r="R283" i="1"/>
  <c r="R231" i="1"/>
  <c r="R211" i="1"/>
  <c r="R344" i="1"/>
  <c r="R233" i="1"/>
  <c r="R374" i="1"/>
  <c r="R289" i="1"/>
  <c r="R259" i="1"/>
  <c r="R217" i="1"/>
  <c r="R193" i="1"/>
  <c r="R169" i="1"/>
  <c r="R47" i="1"/>
  <c r="R508" i="1"/>
  <c r="R424" i="1"/>
  <c r="R400" i="1"/>
  <c r="R299" i="1"/>
  <c r="R253" i="1"/>
  <c r="R275" i="1"/>
  <c r="R265" i="1"/>
  <c r="R235" i="1"/>
  <c r="R221" i="1"/>
  <c r="R197" i="1"/>
  <c r="R173" i="1"/>
  <c r="R149" i="1"/>
  <c r="R147" i="1"/>
  <c r="R145" i="1"/>
  <c r="R143" i="1"/>
  <c r="R141" i="1"/>
  <c r="R139" i="1"/>
  <c r="R137" i="1"/>
  <c r="R135" i="1"/>
  <c r="R133" i="1"/>
  <c r="R131" i="1"/>
  <c r="R129" i="1"/>
  <c r="R127" i="1"/>
  <c r="R125" i="1"/>
  <c r="R123" i="1"/>
  <c r="R121" i="1"/>
  <c r="R119" i="1"/>
  <c r="R117" i="1"/>
  <c r="R115" i="1"/>
  <c r="R113" i="1"/>
  <c r="R111" i="1"/>
  <c r="R109" i="1"/>
  <c r="R107" i="1"/>
  <c r="R105" i="1"/>
  <c r="R103" i="1"/>
  <c r="R101" i="1"/>
  <c r="R99" i="1"/>
  <c r="R97" i="1"/>
  <c r="R95" i="1"/>
  <c r="R93" i="1"/>
  <c r="R91" i="1"/>
  <c r="R89" i="1"/>
  <c r="R87" i="1"/>
  <c r="R85" i="1"/>
  <c r="R83" i="1"/>
  <c r="R81" i="1"/>
  <c r="R79" i="1"/>
  <c r="R77" i="1"/>
  <c r="R75" i="1"/>
  <c r="R73" i="1"/>
  <c r="R71" i="1"/>
  <c r="R69" i="1"/>
  <c r="R67" i="1"/>
  <c r="R65" i="1"/>
  <c r="R63" i="1"/>
  <c r="R61" i="1"/>
  <c r="R59" i="1"/>
  <c r="R57" i="1"/>
  <c r="R38" i="1"/>
  <c r="R381" i="1"/>
  <c r="R281" i="1"/>
  <c r="R223" i="1"/>
  <c r="R334" i="1"/>
  <c r="R313" i="1"/>
  <c r="R225" i="1"/>
  <c r="R201" i="1"/>
  <c r="R177" i="1"/>
  <c r="R153" i="1"/>
  <c r="R55" i="1"/>
  <c r="R53" i="1"/>
  <c r="R51" i="1"/>
  <c r="R48" i="1"/>
  <c r="R325" i="1"/>
  <c r="R255" i="1"/>
  <c r="R227" i="1"/>
  <c r="R203" i="1"/>
  <c r="R179" i="1"/>
  <c r="R155" i="1"/>
  <c r="R301" i="1"/>
  <c r="R257" i="1"/>
  <c r="R229" i="1"/>
  <c r="R207" i="1"/>
  <c r="R183" i="1"/>
  <c r="R159" i="1"/>
  <c r="R277" i="1"/>
  <c r="R175" i="1"/>
  <c r="R146" i="1"/>
  <c r="R138" i="1"/>
  <c r="R130" i="1"/>
  <c r="R122" i="1"/>
  <c r="R114" i="1"/>
  <c r="R106" i="1"/>
  <c r="R98" i="1"/>
  <c r="R90" i="1"/>
  <c r="R82" i="1"/>
  <c r="R74" i="1"/>
  <c r="R66" i="1"/>
  <c r="R58" i="1"/>
  <c r="R42" i="1"/>
  <c r="R195" i="1"/>
  <c r="R163" i="1"/>
  <c r="R157" i="1"/>
  <c r="R189" i="1"/>
  <c r="R384" i="1"/>
  <c r="R151" i="1"/>
  <c r="R148" i="1"/>
  <c r="R140" i="1"/>
  <c r="R132" i="1"/>
  <c r="R124" i="1"/>
  <c r="R116" i="1"/>
  <c r="R108" i="1"/>
  <c r="R100" i="1"/>
  <c r="R92" i="1"/>
  <c r="R84" i="1"/>
  <c r="R76" i="1"/>
  <c r="R68" i="1"/>
  <c r="R60" i="1"/>
  <c r="R171" i="1"/>
  <c r="R251" i="1"/>
  <c r="R213" i="1"/>
  <c r="R191" i="1"/>
  <c r="R165" i="1"/>
  <c r="R50" i="1"/>
  <c r="R142" i="1"/>
  <c r="R134" i="1"/>
  <c r="R126" i="1"/>
  <c r="R118" i="1"/>
  <c r="R110" i="1"/>
  <c r="R102" i="1"/>
  <c r="R94" i="1"/>
  <c r="R86" i="1"/>
  <c r="R78" i="1"/>
  <c r="R70" i="1"/>
  <c r="R62" i="1"/>
  <c r="R219" i="1"/>
  <c r="R185" i="1"/>
  <c r="R52" i="1"/>
  <c r="R39" i="1"/>
  <c r="R22" i="1"/>
  <c r="R345" i="1"/>
  <c r="R245" i="1"/>
  <c r="R209" i="1"/>
  <c r="R167" i="1"/>
  <c r="R37" i="1"/>
  <c r="R25" i="1"/>
  <c r="R16" i="1"/>
  <c r="R136" i="1"/>
  <c r="R120" i="1"/>
  <c r="R96" i="1"/>
  <c r="R88" i="1"/>
  <c r="R64" i="1"/>
  <c r="R36" i="1"/>
  <c r="R241" i="1"/>
  <c r="R144" i="1"/>
  <c r="R128" i="1"/>
  <c r="R112" i="1"/>
  <c r="R104" i="1"/>
  <c r="R80" i="1"/>
  <c r="R72" i="1"/>
  <c r="R54" i="1"/>
  <c r="R44" i="1"/>
  <c r="R215" i="1"/>
  <c r="R205" i="1"/>
  <c r="R199" i="1"/>
  <c r="R187" i="1"/>
  <c r="R181" i="1"/>
  <c r="R161" i="1"/>
  <c r="Q6" i="1"/>
  <c r="R10" i="1"/>
  <c r="B14" i="1"/>
  <c r="B18" i="1" s="1"/>
  <c r="R30" i="1"/>
  <c r="R34" i="1"/>
  <c r="R49" i="1"/>
  <c r="R56" i="1"/>
  <c r="R41" i="1"/>
  <c r="R11" i="1"/>
  <c r="R23" i="1"/>
  <c r="R24" i="1"/>
  <c r="R40" i="1"/>
  <c r="AN32" i="1" l="1"/>
  <c r="AN33" i="1"/>
  <c r="AN31" i="1"/>
  <c r="AC31" i="1" s="1"/>
  <c r="AN26" i="1"/>
  <c r="AK7" i="1"/>
  <c r="AN27" i="1"/>
  <c r="AN15" i="1"/>
  <c r="D66" i="1"/>
  <c r="AN14" i="1"/>
  <c r="AC14" i="1" s="1"/>
  <c r="AJ14" i="1" s="1"/>
  <c r="AN22" i="1"/>
  <c r="AN28" i="1"/>
  <c r="AC28" i="1" s="1"/>
  <c r="AJ28" i="1" s="1"/>
  <c r="AN16" i="1"/>
  <c r="AC16" i="1" s="1"/>
  <c r="AJ16" i="1" s="1"/>
  <c r="AN20" i="1"/>
  <c r="AC20" i="1" s="1"/>
  <c r="AJ20" i="1" s="1"/>
  <c r="AN10" i="1"/>
  <c r="AC10" i="1" s="1"/>
  <c r="AJ10" i="1" s="1"/>
  <c r="AN8" i="1"/>
  <c r="AC8" i="1" s="1"/>
  <c r="AJ8" i="1" s="1"/>
  <c r="AN25" i="1"/>
  <c r="AC25" i="1" s="1"/>
  <c r="AJ25" i="1" s="1"/>
  <c r="AN13" i="1"/>
  <c r="AC13" i="1" s="1"/>
  <c r="AJ13" i="1" s="1"/>
  <c r="AN24" i="1"/>
  <c r="AN12" i="1"/>
  <c r="AC12" i="1" s="1"/>
  <c r="AJ12" i="1" s="1"/>
  <c r="AN23" i="1"/>
  <c r="AC23" i="1" s="1"/>
  <c r="AJ23" i="1" s="1"/>
  <c r="AN11" i="1"/>
  <c r="AN41" i="1"/>
  <c r="AO41" i="1" s="1"/>
  <c r="AN21" i="1"/>
  <c r="AN9" i="1"/>
  <c r="AN19" i="1"/>
  <c r="AC19" i="1" s="1"/>
  <c r="AJ19" i="1" s="1"/>
  <c r="AN7" i="1"/>
  <c r="AC7" i="1" s="1"/>
  <c r="AJ7" i="1" s="1"/>
  <c r="AN30" i="1"/>
  <c r="AC30" i="1" s="1"/>
  <c r="AJ30" i="1" s="1"/>
  <c r="AN18" i="1"/>
  <c r="AC18" i="1" s="1"/>
  <c r="AJ18" i="1" s="1"/>
  <c r="AN6" i="1"/>
  <c r="AO6" i="1" s="1"/>
  <c r="AN29" i="1"/>
  <c r="AC29" i="1" s="1"/>
  <c r="AJ29" i="1" s="1"/>
  <c r="AN17" i="1"/>
  <c r="D65" i="1"/>
  <c r="T6" i="1"/>
  <c r="AC24" i="1"/>
  <c r="AJ24" i="1" s="1"/>
  <c r="AC33" i="1"/>
  <c r="AC32" i="1"/>
  <c r="AJ32" i="1" s="1"/>
  <c r="S658" i="1"/>
  <c r="S618" i="1"/>
  <c r="S656" i="1"/>
  <c r="S14" i="1"/>
  <c r="S628" i="1"/>
  <c r="T660" i="1"/>
  <c r="S646" i="1"/>
  <c r="T667" i="1"/>
  <c r="S644" i="1"/>
  <c r="T634" i="1"/>
  <c r="T643" i="1"/>
  <c r="T622" i="1"/>
  <c r="S655" i="1"/>
  <c r="T614" i="1"/>
  <c r="T631" i="1"/>
  <c r="T648" i="1"/>
  <c r="T670" i="1"/>
  <c r="S610" i="1"/>
  <c r="T619" i="1"/>
  <c r="T616" i="1"/>
  <c r="S668" i="1"/>
  <c r="T8" i="1"/>
  <c r="T626" i="1"/>
  <c r="T612" i="1"/>
  <c r="S632" i="1"/>
  <c r="T613" i="1"/>
  <c r="S613" i="1"/>
  <c r="T649" i="1"/>
  <c r="S649" i="1"/>
  <c r="T663" i="1"/>
  <c r="S663" i="1"/>
  <c r="T625" i="1"/>
  <c r="S625" i="1"/>
  <c r="T662" i="1"/>
  <c r="S662" i="1"/>
  <c r="T664" i="1"/>
  <c r="S664" i="1"/>
  <c r="T650" i="1"/>
  <c r="S650" i="1"/>
  <c r="T615" i="1"/>
  <c r="S615" i="1"/>
  <c r="T637" i="1"/>
  <c r="S637" i="1"/>
  <c r="T661" i="1"/>
  <c r="S661" i="1"/>
  <c r="T652" i="1"/>
  <c r="S652" i="1"/>
  <c r="T627" i="1"/>
  <c r="S627" i="1"/>
  <c r="T624" i="1"/>
  <c r="T638" i="1"/>
  <c r="S608" i="1"/>
  <c r="T651" i="1"/>
  <c r="S651" i="1"/>
  <c r="T636" i="1"/>
  <c r="T639" i="1"/>
  <c r="S639" i="1"/>
  <c r="S620" i="1"/>
  <c r="T640" i="1"/>
  <c r="S640" i="1"/>
  <c r="S607" i="1"/>
  <c r="T607" i="1"/>
  <c r="T642" i="1"/>
  <c r="S642" i="1"/>
  <c r="T654" i="1"/>
  <c r="S654" i="1"/>
  <c r="T666" i="1"/>
  <c r="S666" i="1"/>
  <c r="S611" i="1"/>
  <c r="T611" i="1"/>
  <c r="S623" i="1"/>
  <c r="T623" i="1"/>
  <c r="S635" i="1"/>
  <c r="T635" i="1"/>
  <c r="S629" i="1"/>
  <c r="T629" i="1"/>
  <c r="S621" i="1"/>
  <c r="T621" i="1"/>
  <c r="S659" i="1"/>
  <c r="T659" i="1"/>
  <c r="S617" i="1"/>
  <c r="T617" i="1"/>
  <c r="S609" i="1"/>
  <c r="T609" i="1"/>
  <c r="S647" i="1"/>
  <c r="T647" i="1"/>
  <c r="S641" i="1"/>
  <c r="T641" i="1"/>
  <c r="S633" i="1"/>
  <c r="T633" i="1"/>
  <c r="S671" i="1"/>
  <c r="T671" i="1"/>
  <c r="S653" i="1"/>
  <c r="T653" i="1"/>
  <c r="S645" i="1"/>
  <c r="T645" i="1"/>
  <c r="S665" i="1"/>
  <c r="T665" i="1"/>
  <c r="S669" i="1"/>
  <c r="T669" i="1"/>
  <c r="T630" i="1"/>
  <c r="S630" i="1"/>
  <c r="S657" i="1"/>
  <c r="T657" i="1"/>
  <c r="S29" i="1"/>
  <c r="T9" i="1"/>
  <c r="S7" i="1"/>
  <c r="S13" i="1"/>
  <c r="S203" i="1"/>
  <c r="T203" i="1"/>
  <c r="T235" i="1"/>
  <c r="S235" i="1"/>
  <c r="T361" i="1"/>
  <c r="S361" i="1"/>
  <c r="T330" i="1"/>
  <c r="S330" i="1"/>
  <c r="T438" i="1"/>
  <c r="S438" i="1"/>
  <c r="T264" i="1"/>
  <c r="S264" i="1"/>
  <c r="T433" i="1"/>
  <c r="S433" i="1"/>
  <c r="S467" i="1"/>
  <c r="T467" i="1"/>
  <c r="S535" i="1"/>
  <c r="T535" i="1"/>
  <c r="S40" i="1"/>
  <c r="T40" i="1"/>
  <c r="T54" i="1"/>
  <c r="S54" i="1"/>
  <c r="S120" i="1"/>
  <c r="T120" i="1"/>
  <c r="T22" i="1"/>
  <c r="S22" i="1"/>
  <c r="S102" i="1"/>
  <c r="T102" i="1"/>
  <c r="T165" i="1"/>
  <c r="S165" i="1"/>
  <c r="S116" i="1"/>
  <c r="T116" i="1"/>
  <c r="T42" i="1"/>
  <c r="S42" i="1"/>
  <c r="S146" i="1"/>
  <c r="T146" i="1"/>
  <c r="T227" i="1"/>
  <c r="S227" i="1"/>
  <c r="T225" i="1"/>
  <c r="S225" i="1"/>
  <c r="T63" i="1"/>
  <c r="S63" i="1"/>
  <c r="T87" i="1"/>
  <c r="S87" i="1"/>
  <c r="T111" i="1"/>
  <c r="S111" i="1"/>
  <c r="T135" i="1"/>
  <c r="S135" i="1"/>
  <c r="T265" i="1"/>
  <c r="S265" i="1"/>
  <c r="T289" i="1"/>
  <c r="S289" i="1"/>
  <c r="T320" i="1"/>
  <c r="S320" i="1"/>
  <c r="S249" i="1"/>
  <c r="T249" i="1"/>
  <c r="T247" i="1"/>
  <c r="S247" i="1"/>
  <c r="S460" i="1"/>
  <c r="T460" i="1"/>
  <c r="T496" i="1"/>
  <c r="S496" i="1"/>
  <c r="T367" i="1"/>
  <c r="S367" i="1"/>
  <c r="T170" i="1"/>
  <c r="S170" i="1"/>
  <c r="T194" i="1"/>
  <c r="S194" i="1"/>
  <c r="T218" i="1"/>
  <c r="S218" i="1"/>
  <c r="T355" i="1"/>
  <c r="S355" i="1"/>
  <c r="T358" i="1"/>
  <c r="S358" i="1"/>
  <c r="T446" i="1"/>
  <c r="S446" i="1"/>
  <c r="T444" i="1"/>
  <c r="S444" i="1"/>
  <c r="T548" i="1"/>
  <c r="S548" i="1"/>
  <c r="T458" i="1"/>
  <c r="S458" i="1"/>
  <c r="S242" i="1"/>
  <c r="T242" i="1"/>
  <c r="T266" i="1"/>
  <c r="S266" i="1"/>
  <c r="S290" i="1"/>
  <c r="T290" i="1"/>
  <c r="T343" i="1"/>
  <c r="S343" i="1"/>
  <c r="T328" i="1"/>
  <c r="S328" i="1"/>
  <c r="S465" i="1"/>
  <c r="T465" i="1"/>
  <c r="T596" i="1"/>
  <c r="S596" i="1"/>
  <c r="T411" i="1"/>
  <c r="S411" i="1"/>
  <c r="T435" i="1"/>
  <c r="S435" i="1"/>
  <c r="T459" i="1"/>
  <c r="S459" i="1"/>
  <c r="T510" i="1"/>
  <c r="S510" i="1"/>
  <c r="T558" i="1"/>
  <c r="S558" i="1"/>
  <c r="S479" i="1"/>
  <c r="T479" i="1"/>
  <c r="S513" i="1"/>
  <c r="T513" i="1"/>
  <c r="S537" i="1"/>
  <c r="T537" i="1"/>
  <c r="S561" i="1"/>
  <c r="T561" i="1"/>
  <c r="S585" i="1"/>
  <c r="T585" i="1"/>
  <c r="T20" i="1"/>
  <c r="S20" i="1"/>
  <c r="S88" i="1"/>
  <c r="T88" i="1"/>
  <c r="T44" i="1"/>
  <c r="S44" i="1"/>
  <c r="S108" i="1"/>
  <c r="T108" i="1"/>
  <c r="T85" i="1"/>
  <c r="S85" i="1"/>
  <c r="T440" i="1"/>
  <c r="S440" i="1"/>
  <c r="T168" i="1"/>
  <c r="S168" i="1"/>
  <c r="T420" i="1"/>
  <c r="S420" i="1"/>
  <c r="T288" i="1"/>
  <c r="S288" i="1"/>
  <c r="T486" i="1"/>
  <c r="S486" i="1"/>
  <c r="S511" i="1"/>
  <c r="T511" i="1"/>
  <c r="T10" i="1"/>
  <c r="S10" i="1"/>
  <c r="S136" i="1"/>
  <c r="T136" i="1"/>
  <c r="S110" i="1"/>
  <c r="T110" i="1"/>
  <c r="T191" i="1"/>
  <c r="S191" i="1"/>
  <c r="S124" i="1"/>
  <c r="T124" i="1"/>
  <c r="S58" i="1"/>
  <c r="T58" i="1"/>
  <c r="S175" i="1"/>
  <c r="T175" i="1"/>
  <c r="T255" i="1"/>
  <c r="S255" i="1"/>
  <c r="T313" i="1"/>
  <c r="S313" i="1"/>
  <c r="T65" i="1"/>
  <c r="S65" i="1"/>
  <c r="T89" i="1"/>
  <c r="S89" i="1"/>
  <c r="T113" i="1"/>
  <c r="S113" i="1"/>
  <c r="T137" i="1"/>
  <c r="S137" i="1"/>
  <c r="T275" i="1"/>
  <c r="S275" i="1"/>
  <c r="T374" i="1"/>
  <c r="S374" i="1"/>
  <c r="S331" i="1"/>
  <c r="T331" i="1"/>
  <c r="T273" i="1"/>
  <c r="S273" i="1"/>
  <c r="T271" i="1"/>
  <c r="S271" i="1"/>
  <c r="S491" i="1"/>
  <c r="T491" i="1"/>
  <c r="T243" i="1"/>
  <c r="S243" i="1"/>
  <c r="T412" i="1"/>
  <c r="S412" i="1"/>
  <c r="S172" i="1"/>
  <c r="T172" i="1"/>
  <c r="S196" i="1"/>
  <c r="T196" i="1"/>
  <c r="S220" i="1"/>
  <c r="T220" i="1"/>
  <c r="T370" i="1"/>
  <c r="S370" i="1"/>
  <c r="T383" i="1"/>
  <c r="S383" i="1"/>
  <c r="T524" i="1"/>
  <c r="S524" i="1"/>
  <c r="T450" i="1"/>
  <c r="S450" i="1"/>
  <c r="T564" i="1"/>
  <c r="S564" i="1"/>
  <c r="S474" i="1"/>
  <c r="T474" i="1"/>
  <c r="T244" i="1"/>
  <c r="S244" i="1"/>
  <c r="S268" i="1"/>
  <c r="T268" i="1"/>
  <c r="S292" i="1"/>
  <c r="T292" i="1"/>
  <c r="T354" i="1"/>
  <c r="S354" i="1"/>
  <c r="T339" i="1"/>
  <c r="S339" i="1"/>
  <c r="S475" i="1"/>
  <c r="T475" i="1"/>
  <c r="S461" i="1"/>
  <c r="T461" i="1"/>
  <c r="T413" i="1"/>
  <c r="S413" i="1"/>
  <c r="T437" i="1"/>
  <c r="S437" i="1"/>
  <c r="S466" i="1"/>
  <c r="T466" i="1"/>
  <c r="T514" i="1"/>
  <c r="S514" i="1"/>
  <c r="T562" i="1"/>
  <c r="S562" i="1"/>
  <c r="T600" i="1"/>
  <c r="S600" i="1"/>
  <c r="S515" i="1"/>
  <c r="T515" i="1"/>
  <c r="S539" i="1"/>
  <c r="T539" i="1"/>
  <c r="S563" i="1"/>
  <c r="T563" i="1"/>
  <c r="S587" i="1"/>
  <c r="T587" i="1"/>
  <c r="S35" i="1"/>
  <c r="T35" i="1"/>
  <c r="T19" i="1"/>
  <c r="S19" i="1"/>
  <c r="T201" i="1"/>
  <c r="S201" i="1"/>
  <c r="T584" i="1"/>
  <c r="S584" i="1"/>
  <c r="T192" i="1"/>
  <c r="S192" i="1"/>
  <c r="S341" i="1"/>
  <c r="T341" i="1"/>
  <c r="T240" i="1"/>
  <c r="S240" i="1"/>
  <c r="T457" i="1"/>
  <c r="S457" i="1"/>
  <c r="S559" i="1"/>
  <c r="T559" i="1"/>
  <c r="S132" i="1"/>
  <c r="T132" i="1"/>
  <c r="T277" i="1"/>
  <c r="S277" i="1"/>
  <c r="T334" i="1"/>
  <c r="S334" i="1"/>
  <c r="T91" i="1"/>
  <c r="S91" i="1"/>
  <c r="T139" i="1"/>
  <c r="S139" i="1"/>
  <c r="T233" i="1"/>
  <c r="S233" i="1"/>
  <c r="T350" i="1"/>
  <c r="S350" i="1"/>
  <c r="T297" i="1"/>
  <c r="S297" i="1"/>
  <c r="T295" i="1"/>
  <c r="S295" i="1"/>
  <c r="T267" i="1"/>
  <c r="S267" i="1"/>
  <c r="T150" i="1"/>
  <c r="S150" i="1"/>
  <c r="T174" i="1"/>
  <c r="S174" i="1"/>
  <c r="T198" i="1"/>
  <c r="S198" i="1"/>
  <c r="T222" i="1"/>
  <c r="S222" i="1"/>
  <c r="T386" i="1"/>
  <c r="S386" i="1"/>
  <c r="T416" i="1"/>
  <c r="S416" i="1"/>
  <c r="T318" i="1"/>
  <c r="S318" i="1"/>
  <c r="T498" i="1"/>
  <c r="S498" i="1"/>
  <c r="T580" i="1"/>
  <c r="S580" i="1"/>
  <c r="S477" i="1"/>
  <c r="T477" i="1"/>
  <c r="T246" i="1"/>
  <c r="S246" i="1"/>
  <c r="T270" i="1"/>
  <c r="S270" i="1"/>
  <c r="T294" i="1"/>
  <c r="S294" i="1"/>
  <c r="T366" i="1"/>
  <c r="S366" i="1"/>
  <c r="T352" i="1"/>
  <c r="S352" i="1"/>
  <c r="S489" i="1"/>
  <c r="T489" i="1"/>
  <c r="S473" i="1"/>
  <c r="T473" i="1"/>
  <c r="T415" i="1"/>
  <c r="S415" i="1"/>
  <c r="T439" i="1"/>
  <c r="S439" i="1"/>
  <c r="S478" i="1"/>
  <c r="T478" i="1"/>
  <c r="T518" i="1"/>
  <c r="S518" i="1"/>
  <c r="T566" i="1"/>
  <c r="S566" i="1"/>
  <c r="S493" i="1"/>
  <c r="T493" i="1"/>
  <c r="S517" i="1"/>
  <c r="T517" i="1"/>
  <c r="S541" i="1"/>
  <c r="T541" i="1"/>
  <c r="S565" i="1"/>
  <c r="T565" i="1"/>
  <c r="S589" i="1"/>
  <c r="T589" i="1"/>
  <c r="T32" i="1"/>
  <c r="S32" i="1"/>
  <c r="T21" i="1"/>
  <c r="S21" i="1"/>
  <c r="T30" i="1"/>
  <c r="S30" i="1"/>
  <c r="S96" i="1"/>
  <c r="T96" i="1"/>
  <c r="S138" i="1"/>
  <c r="T138" i="1"/>
  <c r="T133" i="1"/>
  <c r="S133" i="1"/>
  <c r="T456" i="1"/>
  <c r="S456" i="1"/>
  <c r="T216" i="1"/>
  <c r="S216" i="1"/>
  <c r="T532" i="1"/>
  <c r="S532" i="1"/>
  <c r="S482" i="1"/>
  <c r="T482" i="1"/>
  <c r="T554" i="1"/>
  <c r="S554" i="1"/>
  <c r="S583" i="1"/>
  <c r="T583" i="1"/>
  <c r="T24" i="1"/>
  <c r="S24" i="1"/>
  <c r="S72" i="1"/>
  <c r="T72" i="1"/>
  <c r="T23" i="1"/>
  <c r="S23" i="1"/>
  <c r="S80" i="1"/>
  <c r="T80" i="1"/>
  <c r="T16" i="1"/>
  <c r="S16" i="1"/>
  <c r="S118" i="1"/>
  <c r="T118" i="1"/>
  <c r="S213" i="1"/>
  <c r="T213" i="1"/>
  <c r="S66" i="1"/>
  <c r="T66" i="1"/>
  <c r="S325" i="1"/>
  <c r="T325" i="1"/>
  <c r="T67" i="1"/>
  <c r="S67" i="1"/>
  <c r="T115" i="1"/>
  <c r="S115" i="1"/>
  <c r="T253" i="1"/>
  <c r="S253" i="1"/>
  <c r="S269" i="1"/>
  <c r="T269" i="1"/>
  <c r="T11" i="1"/>
  <c r="S11" i="1"/>
  <c r="S104" i="1"/>
  <c r="T104" i="1"/>
  <c r="S25" i="1"/>
  <c r="T25" i="1"/>
  <c r="T39" i="1"/>
  <c r="S39" i="1"/>
  <c r="S126" i="1"/>
  <c r="T126" i="1"/>
  <c r="T251" i="1"/>
  <c r="S251" i="1"/>
  <c r="S140" i="1"/>
  <c r="T140" i="1"/>
  <c r="S74" i="1"/>
  <c r="T74" i="1"/>
  <c r="T159" i="1"/>
  <c r="S159" i="1"/>
  <c r="S223" i="1"/>
  <c r="T223" i="1"/>
  <c r="T69" i="1"/>
  <c r="S69" i="1"/>
  <c r="T93" i="1"/>
  <c r="S93" i="1"/>
  <c r="T117" i="1"/>
  <c r="S117" i="1"/>
  <c r="T141" i="1"/>
  <c r="S141" i="1"/>
  <c r="T299" i="1"/>
  <c r="S299" i="1"/>
  <c r="T344" i="1"/>
  <c r="S344" i="1"/>
  <c r="T359" i="1"/>
  <c r="S359" i="1"/>
  <c r="S321" i="1"/>
  <c r="T321" i="1"/>
  <c r="T311" i="1"/>
  <c r="S311" i="1"/>
  <c r="S293" i="1"/>
  <c r="T293" i="1"/>
  <c r="T291" i="1"/>
  <c r="S291" i="1"/>
  <c r="T152" i="1"/>
  <c r="S152" i="1"/>
  <c r="T176" i="1"/>
  <c r="S176" i="1"/>
  <c r="S200" i="1"/>
  <c r="T200" i="1"/>
  <c r="S224" i="1"/>
  <c r="T224" i="1"/>
  <c r="T402" i="1"/>
  <c r="S402" i="1"/>
  <c r="T434" i="1"/>
  <c r="S434" i="1"/>
  <c r="T329" i="1"/>
  <c r="S329" i="1"/>
  <c r="S349" i="1"/>
  <c r="T349" i="1"/>
  <c r="T312" i="1"/>
  <c r="S312" i="1"/>
  <c r="T484" i="1"/>
  <c r="S484" i="1"/>
  <c r="T248" i="1"/>
  <c r="S248" i="1"/>
  <c r="T272" i="1"/>
  <c r="S272" i="1"/>
  <c r="T296" i="1"/>
  <c r="S296" i="1"/>
  <c r="T378" i="1"/>
  <c r="S378" i="1"/>
  <c r="T364" i="1"/>
  <c r="S364" i="1"/>
  <c r="T540" i="1"/>
  <c r="S540" i="1"/>
  <c r="T602" i="1"/>
  <c r="S602" i="1"/>
  <c r="T417" i="1"/>
  <c r="S417" i="1"/>
  <c r="T441" i="1"/>
  <c r="S441" i="1"/>
  <c r="T488" i="1"/>
  <c r="S488" i="1"/>
  <c r="T522" i="1"/>
  <c r="S522" i="1"/>
  <c r="T570" i="1"/>
  <c r="S570" i="1"/>
  <c r="S495" i="1"/>
  <c r="T495" i="1"/>
  <c r="S519" i="1"/>
  <c r="T519" i="1"/>
  <c r="S543" i="1"/>
  <c r="T543" i="1"/>
  <c r="S567" i="1"/>
  <c r="T567" i="1"/>
  <c r="S591" i="1"/>
  <c r="T591" i="1"/>
  <c r="T26" i="1"/>
  <c r="S26" i="1"/>
  <c r="S315" i="1"/>
  <c r="T315" i="1"/>
  <c r="S480" i="1"/>
  <c r="T480" i="1"/>
  <c r="S148" i="1"/>
  <c r="T148" i="1"/>
  <c r="S281" i="1"/>
  <c r="T281" i="1"/>
  <c r="T119" i="1"/>
  <c r="S119" i="1"/>
  <c r="T211" i="1"/>
  <c r="S211" i="1"/>
  <c r="T326" i="1"/>
  <c r="S326" i="1"/>
  <c r="T346" i="1"/>
  <c r="S346" i="1"/>
  <c r="T202" i="1"/>
  <c r="S202" i="1"/>
  <c r="S483" i="1"/>
  <c r="T483" i="1"/>
  <c r="T492" i="1"/>
  <c r="S492" i="1"/>
  <c r="S274" i="1"/>
  <c r="T274" i="1"/>
  <c r="T376" i="1"/>
  <c r="S376" i="1"/>
  <c r="T419" i="1"/>
  <c r="S419" i="1"/>
  <c r="T598" i="1"/>
  <c r="S598" i="1"/>
  <c r="S497" i="1"/>
  <c r="T497" i="1"/>
  <c r="S545" i="1"/>
  <c r="T545" i="1"/>
  <c r="S593" i="1"/>
  <c r="T593" i="1"/>
  <c r="S17" i="1"/>
  <c r="T17" i="1"/>
  <c r="T109" i="1"/>
  <c r="S109" i="1"/>
  <c r="T409" i="1"/>
  <c r="S409" i="1"/>
  <c r="T52" i="1"/>
  <c r="S52" i="1"/>
  <c r="S82" i="1"/>
  <c r="T82" i="1"/>
  <c r="T71" i="1"/>
  <c r="S71" i="1"/>
  <c r="T95" i="1"/>
  <c r="S95" i="1"/>
  <c r="T143" i="1"/>
  <c r="S143" i="1"/>
  <c r="T400" i="1"/>
  <c r="S400" i="1"/>
  <c r="T393" i="1"/>
  <c r="S393" i="1"/>
  <c r="T351" i="1"/>
  <c r="S351" i="1"/>
  <c r="T316" i="1"/>
  <c r="S316" i="1"/>
  <c r="T154" i="1"/>
  <c r="S154" i="1"/>
  <c r="T178" i="1"/>
  <c r="S178" i="1"/>
  <c r="T226" i="1"/>
  <c r="S226" i="1"/>
  <c r="T430" i="1"/>
  <c r="S430" i="1"/>
  <c r="T342" i="1"/>
  <c r="S342" i="1"/>
  <c r="T363" i="1"/>
  <c r="S363" i="1"/>
  <c r="T323" i="1"/>
  <c r="S323" i="1"/>
  <c r="S250" i="1"/>
  <c r="T250" i="1"/>
  <c r="S298" i="1"/>
  <c r="T298" i="1"/>
  <c r="T390" i="1"/>
  <c r="S390" i="1"/>
  <c r="T556" i="1"/>
  <c r="S556" i="1"/>
  <c r="T395" i="1"/>
  <c r="S395" i="1"/>
  <c r="T443" i="1"/>
  <c r="S443" i="1"/>
  <c r="T526" i="1"/>
  <c r="S526" i="1"/>
  <c r="T574" i="1"/>
  <c r="S574" i="1"/>
  <c r="S521" i="1"/>
  <c r="T521" i="1"/>
  <c r="S569" i="1"/>
  <c r="T569" i="1"/>
  <c r="S31" i="1"/>
  <c r="T31" i="1"/>
  <c r="S41" i="1"/>
  <c r="T41" i="1"/>
  <c r="S161" i="1"/>
  <c r="T161" i="1"/>
  <c r="S128" i="1"/>
  <c r="T128" i="1"/>
  <c r="S185" i="1"/>
  <c r="T185" i="1"/>
  <c r="S142" i="1"/>
  <c r="T142" i="1"/>
  <c r="S60" i="1"/>
  <c r="T60" i="1"/>
  <c r="S151" i="1"/>
  <c r="T151" i="1"/>
  <c r="S90" i="1"/>
  <c r="T90" i="1"/>
  <c r="T207" i="1"/>
  <c r="S207" i="1"/>
  <c r="T48" i="1"/>
  <c r="S48" i="1"/>
  <c r="T381" i="1"/>
  <c r="S381" i="1"/>
  <c r="T73" i="1"/>
  <c r="S73" i="1"/>
  <c r="T97" i="1"/>
  <c r="S97" i="1"/>
  <c r="T121" i="1"/>
  <c r="S121" i="1"/>
  <c r="T145" i="1"/>
  <c r="S145" i="1"/>
  <c r="T424" i="1"/>
  <c r="S424" i="1"/>
  <c r="T231" i="1"/>
  <c r="S231" i="1"/>
  <c r="T410" i="1"/>
  <c r="S410" i="1"/>
  <c r="T337" i="1"/>
  <c r="S337" i="1"/>
  <c r="T360" i="1"/>
  <c r="S360" i="1"/>
  <c r="T324" i="1"/>
  <c r="S324" i="1"/>
  <c r="T373" i="1"/>
  <c r="S373" i="1"/>
  <c r="T156" i="1"/>
  <c r="S156" i="1"/>
  <c r="T180" i="1"/>
  <c r="S180" i="1"/>
  <c r="T204" i="1"/>
  <c r="S204" i="1"/>
  <c r="S239" i="1"/>
  <c r="T239" i="1"/>
  <c r="T237" i="1"/>
  <c r="S237" i="1"/>
  <c r="T552" i="1"/>
  <c r="S552" i="1"/>
  <c r="T353" i="1"/>
  <c r="S353" i="1"/>
  <c r="T375" i="1"/>
  <c r="S375" i="1"/>
  <c r="T336" i="1"/>
  <c r="S336" i="1"/>
  <c r="S228" i="1"/>
  <c r="T228" i="1"/>
  <c r="T252" i="1"/>
  <c r="S252" i="1"/>
  <c r="T276" i="1"/>
  <c r="S276" i="1"/>
  <c r="T300" i="1"/>
  <c r="S300" i="1"/>
  <c r="S471" i="1"/>
  <c r="T471" i="1"/>
  <c r="T388" i="1"/>
  <c r="S388" i="1"/>
  <c r="T572" i="1"/>
  <c r="S572" i="1"/>
  <c r="T397" i="1"/>
  <c r="S397" i="1"/>
  <c r="T421" i="1"/>
  <c r="S421" i="1"/>
  <c r="T445" i="1"/>
  <c r="S445" i="1"/>
  <c r="S464" i="1"/>
  <c r="T464" i="1"/>
  <c r="T530" i="1"/>
  <c r="S530" i="1"/>
  <c r="T578" i="1"/>
  <c r="S578" i="1"/>
  <c r="S499" i="1"/>
  <c r="T499" i="1"/>
  <c r="S523" i="1"/>
  <c r="T523" i="1"/>
  <c r="S547" i="1"/>
  <c r="T547" i="1"/>
  <c r="S571" i="1"/>
  <c r="T571" i="1"/>
  <c r="S595" i="1"/>
  <c r="T595" i="1"/>
  <c r="S28" i="1"/>
  <c r="T28" i="1"/>
  <c r="T15" i="1"/>
  <c r="S15" i="1"/>
  <c r="T215" i="1"/>
  <c r="S215" i="1"/>
  <c r="S94" i="1"/>
  <c r="T94" i="1"/>
  <c r="T259" i="1"/>
  <c r="S259" i="1"/>
  <c r="T332" i="1"/>
  <c r="S332" i="1"/>
  <c r="S134" i="1"/>
  <c r="T134" i="1"/>
  <c r="S144" i="1"/>
  <c r="T144" i="1"/>
  <c r="S98" i="1"/>
  <c r="T98" i="1"/>
  <c r="T75" i="1"/>
  <c r="S75" i="1"/>
  <c r="T508" i="1"/>
  <c r="S508" i="1"/>
  <c r="T369" i="1"/>
  <c r="S369" i="1"/>
  <c r="S206" i="1"/>
  <c r="T206" i="1"/>
  <c r="T365" i="1"/>
  <c r="S365" i="1"/>
  <c r="T254" i="1"/>
  <c r="S254" i="1"/>
  <c r="T512" i="1"/>
  <c r="S512" i="1"/>
  <c r="T398" i="1"/>
  <c r="S398" i="1"/>
  <c r="T423" i="1"/>
  <c r="S423" i="1"/>
  <c r="T447" i="1"/>
  <c r="S447" i="1"/>
  <c r="S476" i="1"/>
  <c r="T476" i="1"/>
  <c r="T534" i="1"/>
  <c r="S534" i="1"/>
  <c r="T582" i="1"/>
  <c r="S582" i="1"/>
  <c r="S501" i="1"/>
  <c r="T501" i="1"/>
  <c r="S573" i="1"/>
  <c r="T573" i="1"/>
  <c r="S597" i="1"/>
  <c r="T597" i="1"/>
  <c r="T27" i="1"/>
  <c r="S27" i="1"/>
  <c r="S345" i="1"/>
  <c r="T345" i="1"/>
  <c r="T50" i="1"/>
  <c r="S50" i="1"/>
  <c r="T520" i="1"/>
  <c r="S520" i="1"/>
  <c r="T592" i="1"/>
  <c r="S592" i="1"/>
  <c r="S112" i="1"/>
  <c r="T112" i="1"/>
  <c r="T183" i="1"/>
  <c r="S183" i="1"/>
  <c r="T37" i="1"/>
  <c r="S37" i="1"/>
  <c r="S68" i="1"/>
  <c r="T68" i="1"/>
  <c r="T229" i="1"/>
  <c r="S229" i="1"/>
  <c r="T123" i="1"/>
  <c r="S123" i="1"/>
  <c r="T283" i="1"/>
  <c r="S283" i="1"/>
  <c r="T348" i="1"/>
  <c r="S348" i="1"/>
  <c r="T379" i="1"/>
  <c r="S379" i="1"/>
  <c r="S182" i="1"/>
  <c r="T182" i="1"/>
  <c r="T261" i="1"/>
  <c r="S261" i="1"/>
  <c r="T387" i="1"/>
  <c r="S387" i="1"/>
  <c r="T230" i="1"/>
  <c r="S230" i="1"/>
  <c r="T278" i="1"/>
  <c r="S278" i="1"/>
  <c r="T588" i="1"/>
  <c r="S588" i="1"/>
  <c r="S525" i="1"/>
  <c r="T525" i="1"/>
  <c r="T241" i="1"/>
  <c r="S241" i="1"/>
  <c r="S76" i="1"/>
  <c r="T76" i="1"/>
  <c r="S106" i="1"/>
  <c r="T106" i="1"/>
  <c r="T257" i="1"/>
  <c r="S257" i="1"/>
  <c r="T77" i="1"/>
  <c r="S77" i="1"/>
  <c r="T101" i="1"/>
  <c r="S101" i="1"/>
  <c r="T125" i="1"/>
  <c r="S125" i="1"/>
  <c r="T149" i="1"/>
  <c r="S149" i="1"/>
  <c r="T47" i="1"/>
  <c r="S47" i="1"/>
  <c r="S307" i="1"/>
  <c r="T307" i="1"/>
  <c r="T428" i="1"/>
  <c r="S428" i="1"/>
  <c r="T372" i="1"/>
  <c r="S372" i="1"/>
  <c r="T385" i="1"/>
  <c r="S385" i="1"/>
  <c r="T340" i="1"/>
  <c r="S340" i="1"/>
  <c r="T382" i="1"/>
  <c r="S382" i="1"/>
  <c r="T160" i="1"/>
  <c r="S160" i="1"/>
  <c r="T184" i="1"/>
  <c r="S184" i="1"/>
  <c r="T208" i="1"/>
  <c r="S208" i="1"/>
  <c r="S287" i="1"/>
  <c r="T287" i="1"/>
  <c r="T285" i="1"/>
  <c r="S285" i="1"/>
  <c r="S305" i="1"/>
  <c r="T305" i="1"/>
  <c r="T377" i="1"/>
  <c r="S377" i="1"/>
  <c r="T454" i="1"/>
  <c r="S454" i="1"/>
  <c r="T356" i="1"/>
  <c r="S356" i="1"/>
  <c r="S232" i="1"/>
  <c r="T232" i="1"/>
  <c r="S256" i="1"/>
  <c r="T256" i="1"/>
  <c r="S280" i="1"/>
  <c r="T280" i="1"/>
  <c r="S304" i="1"/>
  <c r="T304" i="1"/>
  <c r="T528" i="1"/>
  <c r="S528" i="1"/>
  <c r="T406" i="1"/>
  <c r="S406" i="1"/>
  <c r="S463" i="1"/>
  <c r="T463" i="1"/>
  <c r="T401" i="1"/>
  <c r="S401" i="1"/>
  <c r="T425" i="1"/>
  <c r="S425" i="1"/>
  <c r="T449" i="1"/>
  <c r="S449" i="1"/>
  <c r="T494" i="1"/>
  <c r="S494" i="1"/>
  <c r="T538" i="1"/>
  <c r="S538" i="1"/>
  <c r="T586" i="1"/>
  <c r="S586" i="1"/>
  <c r="S503" i="1"/>
  <c r="T503" i="1"/>
  <c r="S527" i="1"/>
  <c r="T527" i="1"/>
  <c r="S551" i="1"/>
  <c r="T551" i="1"/>
  <c r="S575" i="1"/>
  <c r="T575" i="1"/>
  <c r="S599" i="1"/>
  <c r="T599" i="1"/>
  <c r="T46" i="1"/>
  <c r="S46" i="1"/>
  <c r="T18" i="1"/>
  <c r="S45" i="1"/>
  <c r="T45" i="1"/>
  <c r="T61" i="1"/>
  <c r="S61" i="1"/>
  <c r="S462" i="1"/>
  <c r="T462" i="1"/>
  <c r="S171" i="1"/>
  <c r="T171" i="1"/>
  <c r="T181" i="1"/>
  <c r="S181" i="1"/>
  <c r="S219" i="1"/>
  <c r="T219" i="1"/>
  <c r="T384" i="1"/>
  <c r="S384" i="1"/>
  <c r="T51" i="1"/>
  <c r="S51" i="1"/>
  <c r="T99" i="1"/>
  <c r="S99" i="1"/>
  <c r="T147" i="1"/>
  <c r="S147" i="1"/>
  <c r="T536" i="1"/>
  <c r="S536" i="1"/>
  <c r="T335" i="1"/>
  <c r="S335" i="1"/>
  <c r="S158" i="1"/>
  <c r="T158" i="1"/>
  <c r="S263" i="1"/>
  <c r="T263" i="1"/>
  <c r="T442" i="1"/>
  <c r="S442" i="1"/>
  <c r="T347" i="1"/>
  <c r="S347" i="1"/>
  <c r="T302" i="1"/>
  <c r="S302" i="1"/>
  <c r="T399" i="1"/>
  <c r="S399" i="1"/>
  <c r="S549" i="1"/>
  <c r="T549" i="1"/>
  <c r="T56" i="1"/>
  <c r="S56" i="1"/>
  <c r="T187" i="1"/>
  <c r="S187" i="1"/>
  <c r="T167" i="1"/>
  <c r="S167" i="1"/>
  <c r="S62" i="1"/>
  <c r="T62" i="1"/>
  <c r="T189" i="1"/>
  <c r="S189" i="1"/>
  <c r="T53" i="1"/>
  <c r="S53" i="1"/>
  <c r="S49" i="1"/>
  <c r="T49" i="1"/>
  <c r="S199" i="1"/>
  <c r="T199" i="1"/>
  <c r="T36" i="1"/>
  <c r="S36" i="1"/>
  <c r="S209" i="1"/>
  <c r="T209" i="1"/>
  <c r="S70" i="1"/>
  <c r="T70" i="1"/>
  <c r="S84" i="1"/>
  <c r="T84" i="1"/>
  <c r="T157" i="1"/>
  <c r="S157" i="1"/>
  <c r="S114" i="1"/>
  <c r="T114" i="1"/>
  <c r="T301" i="1"/>
  <c r="S301" i="1"/>
  <c r="T55" i="1"/>
  <c r="S55" i="1"/>
  <c r="T38" i="1"/>
  <c r="S38" i="1"/>
  <c r="T79" i="1"/>
  <c r="S79" i="1"/>
  <c r="T103" i="1"/>
  <c r="S103" i="1"/>
  <c r="T127" i="1"/>
  <c r="S127" i="1"/>
  <c r="T173" i="1"/>
  <c r="S173" i="1"/>
  <c r="T169" i="1"/>
  <c r="S169" i="1"/>
  <c r="T279" i="1"/>
  <c r="S279" i="1"/>
  <c r="S472" i="1"/>
  <c r="T472" i="1"/>
  <c r="T404" i="1"/>
  <c r="S404" i="1"/>
  <c r="T391" i="1"/>
  <c r="S391" i="1"/>
  <c r="T357" i="1"/>
  <c r="S357" i="1"/>
  <c r="S469" i="1"/>
  <c r="T469" i="1"/>
  <c r="S162" i="1"/>
  <c r="T162" i="1"/>
  <c r="S186" i="1"/>
  <c r="T186" i="1"/>
  <c r="S210" i="1"/>
  <c r="T210" i="1"/>
  <c r="T309" i="1"/>
  <c r="S309" i="1"/>
  <c r="T317" i="1"/>
  <c r="S317" i="1"/>
  <c r="T362" i="1"/>
  <c r="S362" i="1"/>
  <c r="T389" i="1"/>
  <c r="S389" i="1"/>
  <c r="S487" i="1"/>
  <c r="T487" i="1"/>
  <c r="T368" i="1"/>
  <c r="S368" i="1"/>
  <c r="T234" i="1"/>
  <c r="S234" i="1"/>
  <c r="T258" i="1"/>
  <c r="S258" i="1"/>
  <c r="T282" i="1"/>
  <c r="S282" i="1"/>
  <c r="T306" i="1"/>
  <c r="S306" i="1"/>
  <c r="T544" i="1"/>
  <c r="S544" i="1"/>
  <c r="T414" i="1"/>
  <c r="S414" i="1"/>
  <c r="T490" i="1"/>
  <c r="S490" i="1"/>
  <c r="T403" i="1"/>
  <c r="S403" i="1"/>
  <c r="T427" i="1"/>
  <c r="S427" i="1"/>
  <c r="T451" i="1"/>
  <c r="S451" i="1"/>
  <c r="T500" i="1"/>
  <c r="S500" i="1"/>
  <c r="T542" i="1"/>
  <c r="S542" i="1"/>
  <c r="T590" i="1"/>
  <c r="S590" i="1"/>
  <c r="S505" i="1"/>
  <c r="T505" i="1"/>
  <c r="S529" i="1"/>
  <c r="T529" i="1"/>
  <c r="S553" i="1"/>
  <c r="T553" i="1"/>
  <c r="S577" i="1"/>
  <c r="T577" i="1"/>
  <c r="S601" i="1"/>
  <c r="T601" i="1"/>
  <c r="S34" i="1"/>
  <c r="T34" i="1"/>
  <c r="T205" i="1"/>
  <c r="S205" i="1"/>
  <c r="S64" i="1"/>
  <c r="T64" i="1"/>
  <c r="S245" i="1"/>
  <c r="T245" i="1"/>
  <c r="S78" i="1"/>
  <c r="T78" i="1"/>
  <c r="S92" i="1"/>
  <c r="T92" i="1"/>
  <c r="T163" i="1"/>
  <c r="S163" i="1"/>
  <c r="S122" i="1"/>
  <c r="T122" i="1"/>
  <c r="S155" i="1"/>
  <c r="T155" i="1"/>
  <c r="T153" i="1"/>
  <c r="S153" i="1"/>
  <c r="T57" i="1"/>
  <c r="S57" i="1"/>
  <c r="T81" i="1"/>
  <c r="S81" i="1"/>
  <c r="T105" i="1"/>
  <c r="S105" i="1"/>
  <c r="T129" i="1"/>
  <c r="S129" i="1"/>
  <c r="T197" i="1"/>
  <c r="S197" i="1"/>
  <c r="T193" i="1"/>
  <c r="S193" i="1"/>
  <c r="T303" i="1"/>
  <c r="S303" i="1"/>
  <c r="S485" i="1"/>
  <c r="T485" i="1"/>
  <c r="T436" i="1"/>
  <c r="S436" i="1"/>
  <c r="T394" i="1"/>
  <c r="S394" i="1"/>
  <c r="T408" i="1"/>
  <c r="S408" i="1"/>
  <c r="T568" i="1"/>
  <c r="S568" i="1"/>
  <c r="T164" i="1"/>
  <c r="S164" i="1"/>
  <c r="T188" i="1"/>
  <c r="S188" i="1"/>
  <c r="T212" i="1"/>
  <c r="S212" i="1"/>
  <c r="T314" i="1"/>
  <c r="S314" i="1"/>
  <c r="T333" i="1"/>
  <c r="S333" i="1"/>
  <c r="T371" i="1"/>
  <c r="S371" i="1"/>
  <c r="T426" i="1"/>
  <c r="S426" i="1"/>
  <c r="T502" i="1"/>
  <c r="S502" i="1"/>
  <c r="T380" i="1"/>
  <c r="S380" i="1"/>
  <c r="S236" i="1"/>
  <c r="T236" i="1"/>
  <c r="T260" i="1"/>
  <c r="S260" i="1"/>
  <c r="T284" i="1"/>
  <c r="S284" i="1"/>
  <c r="T308" i="1"/>
  <c r="S308" i="1"/>
  <c r="T560" i="1"/>
  <c r="S560" i="1"/>
  <c r="T422" i="1"/>
  <c r="S422" i="1"/>
  <c r="T606" i="1"/>
  <c r="S606" i="1"/>
  <c r="T405" i="1"/>
  <c r="S405" i="1"/>
  <c r="T429" i="1"/>
  <c r="S429" i="1"/>
  <c r="T453" i="1"/>
  <c r="S453" i="1"/>
  <c r="T506" i="1"/>
  <c r="S506" i="1"/>
  <c r="T546" i="1"/>
  <c r="S546" i="1"/>
  <c r="T594" i="1"/>
  <c r="S594" i="1"/>
  <c r="S507" i="1"/>
  <c r="T507" i="1"/>
  <c r="S531" i="1"/>
  <c r="T531" i="1"/>
  <c r="S555" i="1"/>
  <c r="T555" i="1"/>
  <c r="S579" i="1"/>
  <c r="T579" i="1"/>
  <c r="S603" i="1"/>
  <c r="T603" i="1"/>
  <c r="T43" i="1"/>
  <c r="S43" i="1"/>
  <c r="T33" i="1"/>
  <c r="S33" i="1"/>
  <c r="S86" i="1"/>
  <c r="T86" i="1"/>
  <c r="S100" i="1"/>
  <c r="T100" i="1"/>
  <c r="S195" i="1"/>
  <c r="T195" i="1"/>
  <c r="S130" i="1"/>
  <c r="T130" i="1"/>
  <c r="S179" i="1"/>
  <c r="T179" i="1"/>
  <c r="T177" i="1"/>
  <c r="S177" i="1"/>
  <c r="T59" i="1"/>
  <c r="S59" i="1"/>
  <c r="T83" i="1"/>
  <c r="S83" i="1"/>
  <c r="T107" i="1"/>
  <c r="S107" i="1"/>
  <c r="T131" i="1"/>
  <c r="S131" i="1"/>
  <c r="T221" i="1"/>
  <c r="S221" i="1"/>
  <c r="T217" i="1"/>
  <c r="S217" i="1"/>
  <c r="T310" i="1"/>
  <c r="S310" i="1"/>
  <c r="T504" i="1"/>
  <c r="S504" i="1"/>
  <c r="S468" i="1"/>
  <c r="T468" i="1"/>
  <c r="T418" i="1"/>
  <c r="S418" i="1"/>
  <c r="T448" i="1"/>
  <c r="S448" i="1"/>
  <c r="T327" i="1"/>
  <c r="S327" i="1"/>
  <c r="S166" i="1"/>
  <c r="T166" i="1"/>
  <c r="S190" i="1"/>
  <c r="T190" i="1"/>
  <c r="T214" i="1"/>
  <c r="S214" i="1"/>
  <c r="T322" i="1"/>
  <c r="S322" i="1"/>
  <c r="T338" i="1"/>
  <c r="S338" i="1"/>
  <c r="T396" i="1"/>
  <c r="S396" i="1"/>
  <c r="T432" i="1"/>
  <c r="S432" i="1"/>
  <c r="T516" i="1"/>
  <c r="S516" i="1"/>
  <c r="T392" i="1"/>
  <c r="S392" i="1"/>
  <c r="S238" i="1"/>
  <c r="T238" i="1"/>
  <c r="T262" i="1"/>
  <c r="S262" i="1"/>
  <c r="T286" i="1"/>
  <c r="S286" i="1"/>
  <c r="T319" i="1"/>
  <c r="S319" i="1"/>
  <c r="T576" i="1"/>
  <c r="S576" i="1"/>
  <c r="T452" i="1"/>
  <c r="S452" i="1"/>
  <c r="S470" i="1"/>
  <c r="T470" i="1"/>
  <c r="T407" i="1"/>
  <c r="S407" i="1"/>
  <c r="T431" i="1"/>
  <c r="S431" i="1"/>
  <c r="T455" i="1"/>
  <c r="S455" i="1"/>
  <c r="S481" i="1"/>
  <c r="T481" i="1"/>
  <c r="T550" i="1"/>
  <c r="S550" i="1"/>
  <c r="T604" i="1"/>
  <c r="S604" i="1"/>
  <c r="S509" i="1"/>
  <c r="T509" i="1"/>
  <c r="S533" i="1"/>
  <c r="T533" i="1"/>
  <c r="S557" i="1"/>
  <c r="T557" i="1"/>
  <c r="S581" i="1"/>
  <c r="T581" i="1"/>
  <c r="S605" i="1"/>
  <c r="T605" i="1"/>
  <c r="S12" i="1"/>
  <c r="T12" i="1"/>
  <c r="AC41" i="1" l="1"/>
  <c r="AH41" i="1" s="1"/>
  <c r="AC6" i="1"/>
  <c r="AH6" i="1" s="1"/>
  <c r="AH33" i="1"/>
  <c r="AJ33" i="1"/>
  <c r="AH31" i="1"/>
  <c r="AJ31" i="1"/>
  <c r="AC38" i="1"/>
  <c r="AJ38" i="1" s="1"/>
  <c r="AO38" i="1"/>
  <c r="AC39" i="1"/>
  <c r="AJ39" i="1" s="1"/>
  <c r="AO39" i="1"/>
  <c r="AO40" i="1"/>
  <c r="AC40" i="1"/>
  <c r="AJ40" i="1" s="1"/>
  <c r="AO31" i="1"/>
  <c r="AO16" i="1"/>
  <c r="AO35" i="1"/>
  <c r="AC35" i="1"/>
  <c r="AJ35" i="1" s="1"/>
  <c r="AO28" i="1"/>
  <c r="AO18" i="1"/>
  <c r="AC36" i="1"/>
  <c r="AJ36" i="1" s="1"/>
  <c r="AO36" i="1"/>
  <c r="AC37" i="1"/>
  <c r="AJ37" i="1" s="1"/>
  <c r="AO37" i="1"/>
  <c r="AE8" i="1"/>
  <c r="AT8" i="1" s="1"/>
  <c r="AH8" i="1"/>
  <c r="AE24" i="1"/>
  <c r="AT24" i="1" s="1"/>
  <c r="AH24" i="1"/>
  <c r="AE20" i="1"/>
  <c r="AT20" i="1" s="1"/>
  <c r="AH20" i="1"/>
  <c r="AE29" i="1"/>
  <c r="AT29" i="1" s="1"/>
  <c r="AH29" i="1"/>
  <c r="AE23" i="1"/>
  <c r="AT23" i="1" s="1"/>
  <c r="AH23" i="1"/>
  <c r="AE19" i="1"/>
  <c r="AT19" i="1" s="1"/>
  <c r="AH19" i="1"/>
  <c r="AE12" i="1"/>
  <c r="AT12" i="1" s="1"/>
  <c r="AH12" i="1"/>
  <c r="AE16" i="1"/>
  <c r="AT16" i="1" s="1"/>
  <c r="AH16" i="1"/>
  <c r="AE10" i="1"/>
  <c r="AT10" i="1" s="1"/>
  <c r="AH10" i="1"/>
  <c r="AE13" i="1"/>
  <c r="AT13" i="1" s="1"/>
  <c r="AH13" i="1"/>
  <c r="AE28" i="1"/>
  <c r="AT28" i="1" s="1"/>
  <c r="AH28" i="1"/>
  <c r="AE25" i="1"/>
  <c r="AT25" i="1" s="1"/>
  <c r="AH25" i="1"/>
  <c r="AE30" i="1"/>
  <c r="AT30" i="1" s="1"/>
  <c r="AH30" i="1"/>
  <c r="AE18" i="1"/>
  <c r="AT18" i="1" s="1"/>
  <c r="AH18" i="1"/>
  <c r="AE7" i="1"/>
  <c r="AT7" i="1" s="1"/>
  <c r="AH7" i="1"/>
  <c r="AE14" i="1"/>
  <c r="AT14" i="1" s="1"/>
  <c r="AH14" i="1"/>
  <c r="AE32" i="1"/>
  <c r="AT32" i="1" s="1"/>
  <c r="AH32" i="1"/>
  <c r="AO33" i="1"/>
  <c r="AO23" i="1"/>
  <c r="AO24" i="1"/>
  <c r="AO20" i="1"/>
  <c r="AE33" i="1"/>
  <c r="AT33" i="1" s="1"/>
  <c r="AO7" i="1"/>
  <c r="AO32" i="1"/>
  <c r="AO8" i="1"/>
  <c r="AE31" i="1"/>
  <c r="AT31" i="1" s="1"/>
  <c r="E27" i="9"/>
  <c r="AL7" i="1"/>
  <c r="AL32" i="1"/>
  <c r="AL31" i="1"/>
  <c r="AL33" i="1"/>
  <c r="AO30" i="1"/>
  <c r="AO29" i="1"/>
  <c r="AO10" i="1"/>
  <c r="AO34" i="1"/>
  <c r="AC34" i="1"/>
  <c r="AO27" i="1"/>
  <c r="AC27" i="1"/>
  <c r="AJ27" i="1" s="1"/>
  <c r="AO13" i="1"/>
  <c r="AO25" i="1"/>
  <c r="AO26" i="1"/>
  <c r="AC26" i="1"/>
  <c r="AJ26" i="1" s="1"/>
  <c r="AO14" i="1"/>
  <c r="AO15" i="1"/>
  <c r="AC15" i="1"/>
  <c r="AJ15" i="1" s="1"/>
  <c r="AO19" i="1"/>
  <c r="AO9" i="1"/>
  <c r="AC9" i="1"/>
  <c r="AJ9" i="1" s="1"/>
  <c r="AO12" i="1"/>
  <c r="AO21" i="1"/>
  <c r="AC21" i="1"/>
  <c r="AJ21" i="1" s="1"/>
  <c r="AO17" i="1"/>
  <c r="AC17" i="1"/>
  <c r="AJ17" i="1" s="1"/>
  <c r="AO11" i="1"/>
  <c r="AC11" i="1"/>
  <c r="AJ11" i="1" s="1"/>
  <c r="AO22" i="1"/>
  <c r="AC22" i="1"/>
  <c r="AJ22" i="1" s="1"/>
  <c r="D67" i="1"/>
  <c r="AE41" i="1" l="1"/>
  <c r="AT41" i="1" s="1"/>
  <c r="AW41" i="1" s="1"/>
  <c r="AL41" i="1"/>
  <c r="AJ41" i="1"/>
  <c r="AJ6" i="1"/>
  <c r="AE6" i="1"/>
  <c r="AT6" i="1" s="1"/>
  <c r="AH34" i="1"/>
  <c r="AJ34" i="1"/>
  <c r="E64" i="1"/>
  <c r="E66" i="1"/>
  <c r="E65" i="1"/>
  <c r="AH40" i="1"/>
  <c r="AE40" i="1"/>
  <c r="AT40" i="1" s="1"/>
  <c r="AW40" i="1" s="1"/>
  <c r="AL40" i="1"/>
  <c r="AH39" i="1"/>
  <c r="AE39" i="1"/>
  <c r="AT39" i="1" s="1"/>
  <c r="AW39" i="1" s="1"/>
  <c r="AL39" i="1"/>
  <c r="AH38" i="1"/>
  <c r="AE38" i="1"/>
  <c r="AT38" i="1" s="1"/>
  <c r="AL38" i="1"/>
  <c r="AH37" i="1"/>
  <c r="AE37" i="1"/>
  <c r="AT37" i="1" s="1"/>
  <c r="AL37" i="1"/>
  <c r="AH36" i="1"/>
  <c r="AE36" i="1"/>
  <c r="AT36" i="1" s="1"/>
  <c r="AL36" i="1"/>
  <c r="AH35" i="1"/>
  <c r="AE35" i="1"/>
  <c r="AT35" i="1" s="1"/>
  <c r="AL35" i="1"/>
  <c r="AE26" i="1"/>
  <c r="AT26" i="1" s="1"/>
  <c r="AH26" i="1"/>
  <c r="AE17" i="1"/>
  <c r="AT17" i="1" s="1"/>
  <c r="AH17" i="1"/>
  <c r="AE11" i="1"/>
  <c r="AT11" i="1" s="1"/>
  <c r="AH11" i="1"/>
  <c r="AE21" i="1"/>
  <c r="AT21" i="1" s="1"/>
  <c r="AH21" i="1"/>
  <c r="AE27" i="1"/>
  <c r="AT27" i="1" s="1"/>
  <c r="AH27" i="1"/>
  <c r="AE9" i="1"/>
  <c r="AT9" i="1" s="1"/>
  <c r="AH9" i="1"/>
  <c r="AE22" i="1"/>
  <c r="AT22" i="1" s="1"/>
  <c r="AH22" i="1"/>
  <c r="AE15" i="1"/>
  <c r="AT15" i="1" s="1"/>
  <c r="AH15" i="1"/>
  <c r="AO42" i="1"/>
  <c r="AC42" i="1"/>
  <c r="AN45" i="1" s="1"/>
  <c r="AL34" i="1"/>
  <c r="AE34" i="1"/>
  <c r="AT34" i="1" s="1"/>
  <c r="AL6" i="1"/>
  <c r="AL8" i="1"/>
  <c r="AP7" i="1"/>
  <c r="AL9" i="1"/>
  <c r="AJ42" i="1" l="1"/>
  <c r="AJ43" i="1" s="1"/>
  <c r="AN54" i="1" s="1"/>
  <c r="U27" i="9" s="1"/>
  <c r="AP6" i="1"/>
  <c r="AR6" i="1" s="1"/>
  <c r="AU6" i="1" s="1"/>
  <c r="AH42" i="1"/>
  <c r="AE42" i="1"/>
  <c r="AN46" i="1" s="1"/>
  <c r="AT42" i="1"/>
  <c r="AQ6" i="1"/>
  <c r="AS6" i="1" s="1"/>
  <c r="AP8" i="1"/>
  <c r="AR8" i="1" s="1"/>
  <c r="AU8" i="1" s="1"/>
  <c r="AR7" i="1"/>
  <c r="AU7" i="1" s="1"/>
  <c r="AL10" i="1"/>
  <c r="AH43" i="1" l="1"/>
  <c r="AN53" i="1" s="1"/>
  <c r="U25" i="9" s="1"/>
  <c r="AN47" i="1"/>
  <c r="AK8" i="1"/>
  <c r="AQ7" i="1"/>
  <c r="AS7" i="1" s="1"/>
  <c r="AL11" i="1"/>
  <c r="AP9" i="1"/>
  <c r="AK9" i="1" l="1"/>
  <c r="AQ8" i="1"/>
  <c r="AS8" i="1" s="1"/>
  <c r="AP10" i="1"/>
  <c r="AR10" i="1" s="1"/>
  <c r="AU10" i="1" s="1"/>
  <c r="AR9" i="1"/>
  <c r="AU9" i="1" s="1"/>
  <c r="AL12" i="1"/>
  <c r="AK10" i="1" l="1"/>
  <c r="AQ9" i="1"/>
  <c r="AS9" i="1" s="1"/>
  <c r="AP11" i="1"/>
  <c r="AR11" i="1" s="1"/>
  <c r="AU11" i="1" s="1"/>
  <c r="AL13" i="1"/>
  <c r="AK11" i="1" l="1"/>
  <c r="AQ10" i="1"/>
  <c r="AS10" i="1" s="1"/>
  <c r="AP12" i="1"/>
  <c r="AR12" i="1" s="1"/>
  <c r="AU12" i="1" s="1"/>
  <c r="AL14" i="1"/>
  <c r="AK12" i="1" l="1"/>
  <c r="AQ11" i="1"/>
  <c r="AS11" i="1" s="1"/>
  <c r="AP13" i="1"/>
  <c r="AR13" i="1" s="1"/>
  <c r="AU13" i="1" s="1"/>
  <c r="AL15" i="1"/>
  <c r="AQ12" i="1" l="1"/>
  <c r="AS12" i="1" s="1"/>
  <c r="AK13" i="1"/>
  <c r="AL16" i="1"/>
  <c r="AP14" i="1"/>
  <c r="AR14" i="1" s="1"/>
  <c r="AU14" i="1" s="1"/>
  <c r="AQ13" i="1" l="1"/>
  <c r="AS13" i="1" s="1"/>
  <c r="AK14" i="1"/>
  <c r="AP15" i="1"/>
  <c r="AR15" i="1" s="1"/>
  <c r="AU15" i="1" s="1"/>
  <c r="AL17" i="1"/>
  <c r="AK15" i="1" l="1"/>
  <c r="AQ14" i="1"/>
  <c r="AS14" i="1" s="1"/>
  <c r="AP16" i="1"/>
  <c r="AR16" i="1" s="1"/>
  <c r="AU16" i="1" s="1"/>
  <c r="AL18" i="1"/>
  <c r="AQ15" i="1" l="1"/>
  <c r="AS15" i="1" s="1"/>
  <c r="AK16" i="1"/>
  <c r="AP17" i="1"/>
  <c r="AR17" i="1" s="1"/>
  <c r="AU17" i="1" s="1"/>
  <c r="AL19" i="1"/>
  <c r="AK17" i="1" l="1"/>
  <c r="AQ16" i="1"/>
  <c r="AS16" i="1" s="1"/>
  <c r="AP18" i="1"/>
  <c r="AR18" i="1" s="1"/>
  <c r="AU18" i="1" s="1"/>
  <c r="AL20" i="1"/>
  <c r="AK18" i="1" l="1"/>
  <c r="AQ17" i="1"/>
  <c r="AS17" i="1" s="1"/>
  <c r="AP19" i="1"/>
  <c r="AR19" i="1" s="1"/>
  <c r="AU19" i="1" s="1"/>
  <c r="AL21" i="1"/>
  <c r="AK19" i="1" l="1"/>
  <c r="AQ18" i="1"/>
  <c r="AS18" i="1" s="1"/>
  <c r="AP20" i="1"/>
  <c r="AR20" i="1" s="1"/>
  <c r="AU20" i="1" s="1"/>
  <c r="AL22" i="1"/>
  <c r="AK20" i="1" l="1"/>
  <c r="AQ19" i="1"/>
  <c r="AS19" i="1" s="1"/>
  <c r="F70" i="1"/>
  <c r="AL23" i="1"/>
  <c r="AP21" i="1"/>
  <c r="AR21" i="1" s="1"/>
  <c r="AU21" i="1" s="1"/>
  <c r="AK21" i="1" l="1"/>
  <c r="AQ20" i="1"/>
  <c r="AS20" i="1" s="1"/>
  <c r="AP22" i="1"/>
  <c r="AR22" i="1" s="1"/>
  <c r="AU22" i="1" s="1"/>
  <c r="AL24" i="1"/>
  <c r="AK22" i="1" l="1"/>
  <c r="AQ21" i="1"/>
  <c r="AS21" i="1" s="1"/>
  <c r="AL25" i="1"/>
  <c r="AP23" i="1"/>
  <c r="AR23" i="1" s="1"/>
  <c r="AU23" i="1" s="1"/>
  <c r="AK23" i="1" l="1"/>
  <c r="AQ22" i="1"/>
  <c r="AS22" i="1" s="1"/>
  <c r="AP24" i="1"/>
  <c r="AR24" i="1" s="1"/>
  <c r="AU24" i="1" s="1"/>
  <c r="AL26" i="1"/>
  <c r="AK24" i="1" l="1"/>
  <c r="AQ23" i="1"/>
  <c r="AS23" i="1" s="1"/>
  <c r="AP25" i="1"/>
  <c r="AR25" i="1" s="1"/>
  <c r="AU25" i="1" s="1"/>
  <c r="AL27" i="1"/>
  <c r="AK25" i="1" l="1"/>
  <c r="AQ24" i="1"/>
  <c r="AS24" i="1" s="1"/>
  <c r="AP26" i="1"/>
  <c r="AR26" i="1" s="1"/>
  <c r="AU26" i="1" s="1"/>
  <c r="AL28" i="1"/>
  <c r="AK26" i="1" l="1"/>
  <c r="AQ25" i="1"/>
  <c r="AS25" i="1" s="1"/>
  <c r="AP28" i="1"/>
  <c r="AR28" i="1" s="1"/>
  <c r="AU28" i="1" s="1"/>
  <c r="AP27" i="1"/>
  <c r="AR27" i="1" s="1"/>
  <c r="AU27" i="1" s="1"/>
  <c r="AL29" i="1"/>
  <c r="AK27" i="1" l="1"/>
  <c r="AQ26" i="1"/>
  <c r="AS26" i="1" s="1"/>
  <c r="AL30" i="1"/>
  <c r="AK28" i="1" l="1"/>
  <c r="AQ27" i="1"/>
  <c r="AS27" i="1" s="1"/>
  <c r="AP29" i="1"/>
  <c r="AR29" i="1" s="1"/>
  <c r="AU29" i="1" s="1"/>
  <c r="AK29" i="1" l="1"/>
  <c r="AQ28" i="1"/>
  <c r="AS28" i="1" s="1"/>
  <c r="AP30" i="1"/>
  <c r="AR30" i="1" s="1"/>
  <c r="AU30" i="1" s="1"/>
  <c r="AK30" i="1" l="1"/>
  <c r="AQ29" i="1"/>
  <c r="AS29" i="1" s="1"/>
  <c r="AP31" i="1"/>
  <c r="AR31" i="1" s="1"/>
  <c r="AU31" i="1" s="1"/>
  <c r="AK31" i="1" l="1"/>
  <c r="AQ30" i="1"/>
  <c r="AS30" i="1" s="1"/>
  <c r="AP32" i="1"/>
  <c r="AR32" i="1" s="1"/>
  <c r="AU32" i="1" s="1"/>
  <c r="AK32" i="1" l="1"/>
  <c r="AQ31" i="1"/>
  <c r="AS31" i="1" s="1"/>
  <c r="AP33" i="1"/>
  <c r="AR33" i="1" s="1"/>
  <c r="AU33" i="1" s="1"/>
  <c r="AK33" i="1" l="1"/>
  <c r="AQ32" i="1"/>
  <c r="AS32" i="1" s="1"/>
  <c r="AK34" i="1" l="1"/>
  <c r="AK35" i="1" s="1"/>
  <c r="AK36" i="1" s="1"/>
  <c r="AK37" i="1" s="1"/>
  <c r="AK38" i="1" s="1"/>
  <c r="AK39" i="1" s="1"/>
  <c r="AK40" i="1" s="1"/>
  <c r="AQ33" i="1"/>
  <c r="AS33" i="1" s="1"/>
  <c r="AP36" i="1" l="1"/>
  <c r="AR36" i="1" s="1"/>
  <c r="AU36" i="1" s="1"/>
  <c r="AP37" i="1" l="1"/>
  <c r="AR37" i="1" s="1"/>
  <c r="AU37" i="1" s="1"/>
  <c r="AP38" i="1" l="1"/>
  <c r="AR38" i="1" s="1"/>
  <c r="AU38" i="1" s="1"/>
  <c r="AP39" i="1" l="1"/>
  <c r="AR39" i="1" s="1"/>
  <c r="AU39" i="1" s="1"/>
  <c r="F72" i="1"/>
  <c r="AP41" i="1" l="1"/>
  <c r="AR41" i="1" s="1"/>
  <c r="AU41" i="1" s="1"/>
  <c r="AP40" i="1"/>
  <c r="AR40" i="1" s="1"/>
  <c r="AU40" i="1" s="1"/>
  <c r="AQ36" i="1" l="1"/>
  <c r="AS36" i="1" s="1"/>
  <c r="AP35" i="1"/>
  <c r="AR35" i="1" s="1"/>
  <c r="AU35" i="1" s="1"/>
  <c r="AQ37" i="1" l="1"/>
  <c r="AS37" i="1" s="1"/>
  <c r="AQ35" i="1"/>
  <c r="AS35" i="1" s="1"/>
  <c r="AQ34" i="1"/>
  <c r="AQ38" i="1" l="1"/>
  <c r="AS38" i="1" s="1"/>
  <c r="AS34" i="1"/>
  <c r="AQ39" i="1" l="1"/>
  <c r="AK41" i="1" l="1"/>
  <c r="AQ40" i="1"/>
  <c r="AS40" i="1" s="1"/>
  <c r="AS39" i="1"/>
  <c r="B71" i="1" l="1"/>
  <c r="E29" i="9" s="1"/>
  <c r="B56" i="1"/>
  <c r="E28" i="9" s="1"/>
  <c r="AP34" i="1"/>
  <c r="AR34" i="1" s="1"/>
  <c r="AU34" i="1" s="1"/>
  <c r="AQ41" i="1"/>
  <c r="D72" i="1" l="1"/>
  <c r="E72" i="1" s="1"/>
  <c r="AV33" i="1"/>
  <c r="AV36" i="1"/>
  <c r="AV7" i="1"/>
  <c r="AV40" i="1"/>
  <c r="AV24" i="1"/>
  <c r="AV13" i="1"/>
  <c r="AV28" i="1"/>
  <c r="AV12" i="1"/>
  <c r="AV14" i="1"/>
  <c r="AV29" i="1"/>
  <c r="AV30" i="1"/>
  <c r="AV16" i="1"/>
  <c r="AV35" i="1"/>
  <c r="AV9" i="1"/>
  <c r="AV31" i="1"/>
  <c r="AV41" i="1"/>
  <c r="AV39" i="1"/>
  <c r="AV23" i="1"/>
  <c r="AV37" i="1"/>
  <c r="AV20" i="1"/>
  <c r="AV19" i="1"/>
  <c r="AV15" i="1"/>
  <c r="AV27" i="1"/>
  <c r="AV11" i="1"/>
  <c r="AV21" i="1"/>
  <c r="AV38" i="1"/>
  <c r="AV34" i="1"/>
  <c r="F71" i="1"/>
  <c r="G72" i="1" s="1"/>
  <c r="AV18" i="1"/>
  <c r="AV17" i="1"/>
  <c r="D70" i="1"/>
  <c r="AV32" i="1"/>
  <c r="AV26" i="1"/>
  <c r="AV22" i="1"/>
  <c r="AV8" i="1"/>
  <c r="AV10" i="1"/>
  <c r="AV25" i="1"/>
  <c r="AV6" i="1"/>
  <c r="AR42" i="1"/>
  <c r="AU42" i="1"/>
  <c r="AP42" i="1"/>
  <c r="AS41" i="1"/>
  <c r="AS42" i="1" s="1"/>
  <c r="AQ42" i="1"/>
  <c r="D73" i="1" l="1"/>
  <c r="AN55" i="1"/>
  <c r="AQ55" i="1" s="1"/>
  <c r="AT55" i="1" s="1"/>
  <c r="AR46" i="1"/>
  <c r="G70" i="1"/>
  <c r="E70" i="1"/>
  <c r="AW42" i="1"/>
  <c r="AL62" i="1" s="1"/>
  <c r="AN56" i="1"/>
  <c r="AQ56" i="1" s="1"/>
  <c r="AT56" i="1" s="1"/>
  <c r="AL61" i="1" l="1"/>
  <c r="P41" i="9"/>
  <c r="AO62" i="1"/>
  <c r="P46" i="9" s="1"/>
  <c r="P29" i="9"/>
  <c r="AS46" i="1"/>
  <c r="P30" i="9" s="1"/>
  <c r="U33" i="9" s="1"/>
  <c r="P31" i="9" l="1"/>
  <c r="P32" i="9" s="1"/>
  <c r="E33" i="9" s="1"/>
  <c r="P39" i="9"/>
  <c r="T40" i="9" s="1"/>
  <c r="E34" i="9" s="1"/>
  <c r="AM66" i="1"/>
  <c r="AM67" i="1" s="1"/>
  <c r="AO61" i="1"/>
  <c r="U31" i="9" l="1"/>
  <c r="P44" i="9"/>
  <c r="P47" i="9" s="1"/>
  <c r="P34" i="9"/>
  <c r="P35" i="9"/>
  <c r="U37" i="9" s="1"/>
  <c r="E32" i="9"/>
  <c r="U35" i="9" l="1"/>
  <c r="W35" i="9" s="1"/>
  <c r="W37" i="9" s="1"/>
  <c r="J47" i="9" s="1"/>
  <c r="W31" i="9"/>
  <c r="W33" i="9" s="1"/>
  <c r="E47" i="9" s="1"/>
  <c r="E39" i="9"/>
  <c r="P36" i="9"/>
  <c r="P37" i="9" s="1"/>
  <c r="E38" i="9" s="1"/>
  <c r="E46" i="9" l="1"/>
  <c r="J46" i="9"/>
  <c r="E37" i="9"/>
  <c r="AX18" i="11"/>
  <c r="AX19" i="11" s="1"/>
  <c r="AX20" i="11" s="1"/>
  <c r="AX21" i="11" s="1"/>
  <c r="AX26" i="11"/>
  <c r="AX27" i="11" s="1"/>
  <c r="AX28" i="11" s="1"/>
  <c r="AX29" i="11" s="1"/>
  <c r="AX30" i="11" s="1"/>
  <c r="AX31" i="11" s="1"/>
  <c r="AX32" i="11" s="1"/>
  <c r="AX33" i="11" s="1"/>
</calcChain>
</file>

<file path=xl/sharedStrings.xml><?xml version="1.0" encoding="utf-8"?>
<sst xmlns="http://schemas.openxmlformats.org/spreadsheetml/2006/main" count="1647" uniqueCount="580">
  <si>
    <t>te,m</t>
  </si>
  <si>
    <t>°C</t>
  </si>
  <si>
    <t>střední denní teplota konce vytápěcího období (2 dny po sobě) (13-15°C)</t>
  </si>
  <si>
    <t>te,s</t>
  </si>
  <si>
    <t>průměrná teplota v otopném období</t>
  </si>
  <si>
    <t>d</t>
  </si>
  <si>
    <t>délka otopného období</t>
  </si>
  <si>
    <t>ti,s</t>
  </si>
  <si>
    <t xml:space="preserve">střední teplota vnitřního vzduchu v časovém úseku </t>
  </si>
  <si>
    <t>te,v</t>
  </si>
  <si>
    <t>min výpočtová teplota (-12;-15;-18;-21)</t>
  </si>
  <si>
    <t>T</t>
  </si>
  <si>
    <t xml:space="preserve">den </t>
  </si>
  <si>
    <t xml:space="preserve">aktuální den otopné sezóny </t>
  </si>
  <si>
    <t>dnů</t>
  </si>
  <si>
    <t xml:space="preserve">Graf </t>
  </si>
  <si>
    <t>te=</t>
  </si>
  <si>
    <t>den</t>
  </si>
  <si>
    <t>te</t>
  </si>
  <si>
    <t>dny</t>
  </si>
  <si>
    <t>-(te,m-te,v)*(1-(T/d)^(0,985*((T/d)^-0,625))+te,m</t>
  </si>
  <si>
    <t>Q%</t>
  </si>
  <si>
    <t>%</t>
  </si>
  <si>
    <t>jmenovitý výkon zdroje</t>
  </si>
  <si>
    <t>K</t>
  </si>
  <si>
    <t>konstanta převodu na procenta</t>
  </si>
  <si>
    <t>Q%a</t>
  </si>
  <si>
    <t xml:space="preserve">ověření max výkonu zdroje </t>
  </si>
  <si>
    <t>Q%B</t>
  </si>
  <si>
    <t>Nejnižsí měrný výkon zdroje v otopné sezóně do te,m</t>
  </si>
  <si>
    <t>Qrozsah</t>
  </si>
  <si>
    <t>od</t>
  </si>
  <si>
    <t>do</t>
  </si>
  <si>
    <t xml:space="preserve">% výkonu zdroje </t>
  </si>
  <si>
    <t>x</t>
  </si>
  <si>
    <t>kW</t>
  </si>
  <si>
    <t>Qbiv</t>
  </si>
  <si>
    <t xml:space="preserve">Qcelk </t>
  </si>
  <si>
    <t>Qpož</t>
  </si>
  <si>
    <t>a</t>
  </si>
  <si>
    <t>b</t>
  </si>
  <si>
    <t>c</t>
  </si>
  <si>
    <t>A-15/W45</t>
  </si>
  <si>
    <t>A-12/W45</t>
  </si>
  <si>
    <t>A-7/W45</t>
  </si>
  <si>
    <t>W45</t>
  </si>
  <si>
    <t>rozpětí</t>
  </si>
  <si>
    <t>te,max</t>
  </si>
  <si>
    <t>te,1</t>
  </si>
  <si>
    <t>te,2</t>
  </si>
  <si>
    <t>pokrytí výkonu ze bivalence při minimální teplotě</t>
  </si>
  <si>
    <t>pokrytí výkonu ze Zdroje 1 při návrhové minimální teplotě</t>
  </si>
  <si>
    <t>pokrytí potřeby budovy zdrojem tepla s bivalencí při návrhových podmínkách</t>
  </si>
  <si>
    <t>Q zdroj</t>
  </si>
  <si>
    <t>potřeba</t>
  </si>
  <si>
    <t>dní</t>
  </si>
  <si>
    <t xml:space="preserve">dní s teplotou </t>
  </si>
  <si>
    <t>až</t>
  </si>
  <si>
    <t>pom</t>
  </si>
  <si>
    <t xml:space="preserve">celkem </t>
  </si>
  <si>
    <t xml:space="preserve">požadavek na špičkový výkon zdroje </t>
  </si>
  <si>
    <t xml:space="preserve">Zdroj celkem </t>
  </si>
  <si>
    <t>Výkon zdroje 1 (TČ nebo kaskády TČ)</t>
  </si>
  <si>
    <t>S30L-M-Solid</t>
  </si>
  <si>
    <t>S40L-M-Solid</t>
  </si>
  <si>
    <t>S55L-M-Solid</t>
  </si>
  <si>
    <t>max.</t>
  </si>
  <si>
    <t>EER at A35/W7</t>
  </si>
  <si>
    <t>EER at A35/W18</t>
  </si>
  <si>
    <t>Sound power outside [dB(A)]</t>
  </si>
  <si>
    <t>Sound pressure at 3 m [dB(A)]</t>
  </si>
  <si>
    <t>A-15/W35</t>
  </si>
  <si>
    <t>A-15/W55</t>
  </si>
  <si>
    <t>A-12/W35</t>
  </si>
  <si>
    <t>A-12/W55</t>
  </si>
  <si>
    <t>A-7/W35</t>
  </si>
  <si>
    <t>A-7/W55</t>
  </si>
  <si>
    <t>A2/W35</t>
  </si>
  <si>
    <t>A2/W45</t>
  </si>
  <si>
    <t>A2/W55</t>
  </si>
  <si>
    <t>A7/W35</t>
  </si>
  <si>
    <t>A7/W45</t>
  </si>
  <si>
    <t>A7/W55</t>
  </si>
  <si>
    <t>A12/W35</t>
  </si>
  <si>
    <t>A12/W45</t>
  </si>
  <si>
    <t>A12/W55</t>
  </si>
  <si>
    <t>A20/W35</t>
  </si>
  <si>
    <t>A20/W45</t>
  </si>
  <si>
    <t>A20/W55</t>
  </si>
  <si>
    <t>A35/W7</t>
  </si>
  <si>
    <t>A35/W18</t>
  </si>
  <si>
    <t>vykon zdr</t>
  </si>
  <si>
    <t>% vykonu</t>
  </si>
  <si>
    <t>ei</t>
  </si>
  <si>
    <t>et</t>
  </si>
  <si>
    <t>ed</t>
  </si>
  <si>
    <t>no</t>
  </si>
  <si>
    <t>nr</t>
  </si>
  <si>
    <t>nesoučasnost tep ztráty infiltrací 0,8-0,9</t>
  </si>
  <si>
    <t>snížení teploty v noci 0,8-1</t>
  </si>
  <si>
    <t>ztrácení doby vytápění</t>
  </si>
  <si>
    <t>účinnost regulace 0,9-1</t>
  </si>
  <si>
    <t>účinnost rozvodů 0,95-0,98</t>
  </si>
  <si>
    <t>epsilon</t>
  </si>
  <si>
    <t>e/no*nr</t>
  </si>
  <si>
    <t>D</t>
  </si>
  <si>
    <t xml:space="preserve">denostupne </t>
  </si>
  <si>
    <t>K.dny</t>
  </si>
  <si>
    <t>dnů/t</t>
  </si>
  <si>
    <t>energie</t>
  </si>
  <si>
    <t>Qvyt,tc</t>
  </si>
  <si>
    <t xml:space="preserve">energie </t>
  </si>
  <si>
    <t>Qvyt,biv</t>
  </si>
  <si>
    <t>Gj</t>
  </si>
  <si>
    <t>MWh</t>
  </si>
  <si>
    <t xml:space="preserve">příprava </t>
  </si>
  <si>
    <t>TV</t>
  </si>
  <si>
    <t>Qtc - možné</t>
  </si>
  <si>
    <t>musí zůstat prázdné</t>
  </si>
  <si>
    <t>výkon při návrhové teplotě TČ + biv</t>
  </si>
  <si>
    <t>pole, které je nutné zadat</t>
  </si>
  <si>
    <t xml:space="preserve">pole, která většinou není nutné editovat (je to nicméně možné) </t>
  </si>
  <si>
    <t>http://users.fs.cvut.cz/tomas.matuska/wordpress/wp-content/uploads/2015/10/ZZT-P1-potreba_tepla_vykonu_navrh-zdroje.pdf</t>
  </si>
  <si>
    <t>zdroj četnosti průběhu teplot - jedná se o prahu</t>
  </si>
  <si>
    <t>KDYŽ(W6=W7-1;KDYŽ(W7+1&gt;$B$4;0;W7+1);0)</t>
  </si>
  <si>
    <t>Qtc potř</t>
  </si>
  <si>
    <t>Air X 90</t>
  </si>
  <si>
    <t>S30L-M</t>
  </si>
  <si>
    <t>S40-L-M</t>
  </si>
  <si>
    <t>S55L-M</t>
  </si>
  <si>
    <t xml:space="preserve">tb vč COP </t>
  </si>
  <si>
    <t xml:space="preserve">Seznam tepelných čerpadel </t>
  </si>
  <si>
    <t>Heliotherm S30L-M</t>
  </si>
  <si>
    <t>Heliotherm S40L-M</t>
  </si>
  <si>
    <t>Heliotherm S55L-M</t>
  </si>
  <si>
    <t>Air X 50</t>
  </si>
  <si>
    <t>Air X 70</t>
  </si>
  <si>
    <t>Air X 130</t>
  </si>
  <si>
    <t>Air X 170</t>
  </si>
  <si>
    <t>zkraceny nazev</t>
  </si>
  <si>
    <t>č</t>
  </si>
  <si>
    <t>G254</t>
  </si>
  <si>
    <t>G264</t>
  </si>
  <si>
    <t>G272</t>
  </si>
  <si>
    <t>G280</t>
  </si>
  <si>
    <t>W35</t>
  </si>
  <si>
    <t>MAXIMÁLNÍ VÝKON TEPELNÉHO ČERPADLA</t>
  </si>
  <si>
    <t>Outdoor °C</t>
  </si>
  <si>
    <t>AIR X 50</t>
  </si>
  <si>
    <t xml:space="preserve"> AIR X 70</t>
  </si>
  <si>
    <t xml:space="preserve"> AIR X 90</t>
  </si>
  <si>
    <t>AIR X 130</t>
  </si>
  <si>
    <t>AIR X 170</t>
  </si>
  <si>
    <t>W55</t>
  </si>
  <si>
    <t>tepelné čerpadlo</t>
  </si>
  <si>
    <t xml:space="preserve">teplota otopného systému </t>
  </si>
  <si>
    <t>počet tepelných čerpadel</t>
  </si>
  <si>
    <t>Navrhovaný výkon bivalence</t>
  </si>
  <si>
    <t>bivalenční bod</t>
  </si>
  <si>
    <t>dopočítává samo / důležité mezivýsledky</t>
  </si>
  <si>
    <t>Lokalita (místo měření)</t>
  </si>
  <si>
    <t>Nadmořská</t>
  </si>
  <si>
    <t>výška</t>
  </si>
  <si>
    <t>Venkovní</t>
  </si>
  <si>
    <t>výpočtová</t>
  </si>
  <si>
    <t>teplota</t>
  </si>
  <si>
    <t>Otopné období pro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</si>
  <si>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em</t>
    </r>
    <r>
      <rPr>
        <b/>
        <sz val="11"/>
        <color theme="1"/>
        <rFont val="Calibri"/>
        <family val="2"/>
        <charset val="238"/>
        <scheme val="minor"/>
      </rPr>
      <t>=12 °</t>
    </r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</si>
  <si>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em</t>
    </r>
    <r>
      <rPr>
        <b/>
        <sz val="11"/>
        <color theme="1"/>
        <rFont val="Calibri"/>
        <family val="2"/>
        <charset val="238"/>
        <scheme val="minor"/>
      </rPr>
      <t>=13 °</t>
    </r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</si>
  <si>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em</t>
    </r>
    <r>
      <rPr>
        <b/>
        <sz val="11"/>
        <color theme="1"/>
        <rFont val="Calibri"/>
        <family val="2"/>
        <charset val="238"/>
        <scheme val="minor"/>
      </rPr>
      <t>=15 °</t>
    </r>
  </si>
  <si>
    <t>h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</si>
  <si>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e</t>
    </r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</si>
  <si>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es</t>
    </r>
  </si>
  <si>
    <t>[m]</t>
  </si>
  <si>
    <t>[°C]</t>
  </si>
  <si>
    <t>[dny]</t>
  </si>
  <si>
    <t>Benešov</t>
  </si>
  <si>
    <t>Beroun (Králův Dvůr)</t>
  </si>
  <si>
    <t>Blansko (Dolní Lhota)</t>
  </si>
  <si>
    <t>Brno</t>
  </si>
  <si>
    <t>-12v</t>
  </si>
  <si>
    <t>Bruntál</t>
  </si>
  <si>
    <t>-18v</t>
  </si>
  <si>
    <t>Břeclav (Lednice)</t>
  </si>
  <si>
    <t>Česká Lípa</t>
  </si>
  <si>
    <t>České Budějovice</t>
  </si>
  <si>
    <t>Český Krumlov</t>
  </si>
  <si>
    <t>Děčín (Březiny,Libverda)</t>
  </si>
  <si>
    <t>Domažlice</t>
  </si>
  <si>
    <t>-15v</t>
  </si>
  <si>
    <t>Frýdek-Místek</t>
  </si>
  <si>
    <t>Havlíčkův Brod</t>
  </si>
  <si>
    <t>Hodonín</t>
  </si>
  <si>
    <t>Hradec Králové</t>
  </si>
  <si>
    <t>Cheb</t>
  </si>
  <si>
    <t>Chomutov (Ervěnice)</t>
  </si>
  <si>
    <t>Chrudim</t>
  </si>
  <si>
    <t>Jablonec nad Nisou (Liberec)</t>
  </si>
  <si>
    <t>Jičín (Libáň)</t>
  </si>
  <si>
    <t>Jihlava</t>
  </si>
  <si>
    <t>Jindřichův Hradec</t>
  </si>
  <si>
    <t>Karlovy Vary</t>
  </si>
  <si>
    <t>Karviná</t>
  </si>
  <si>
    <t>Kladno (Lány)</t>
  </si>
  <si>
    <t>Klatovy</t>
  </si>
  <si>
    <t>Kolín</t>
  </si>
  <si>
    <t>Kroměříž</t>
  </si>
  <si>
    <t>Kutná Hora (Kolín)</t>
  </si>
  <si>
    <t>Liberec</t>
  </si>
  <si>
    <t>Litoměřice</t>
  </si>
  <si>
    <t>Louny (Lenešice)</t>
  </si>
  <si>
    <t>Mělník</t>
  </si>
  <si>
    <t>Mladá Boleslav</t>
  </si>
  <si>
    <t>Most (Ervěnice)</t>
  </si>
  <si>
    <t>Náchod (Kleny)</t>
  </si>
  <si>
    <t>Nový Jičín</t>
  </si>
  <si>
    <t>Nymburk (Poděbrady)</t>
  </si>
  <si>
    <t>Olomouc</t>
  </si>
  <si>
    <t>Opava</t>
  </si>
  <si>
    <t>Ostrava</t>
  </si>
  <si>
    <t>Pardubice</t>
  </si>
  <si>
    <t>Pelhřimov</t>
  </si>
  <si>
    <t>Písek</t>
  </si>
  <si>
    <t>Plzeň</t>
  </si>
  <si>
    <t>Praha (Karlov)</t>
  </si>
  <si>
    <t>Prachatice</t>
  </si>
  <si>
    <t>Prostějov</t>
  </si>
  <si>
    <t>Přerov</t>
  </si>
  <si>
    <t>Příbram</t>
  </si>
  <si>
    <t>Rakovník</t>
  </si>
  <si>
    <t>Rokycany (Příbram)</t>
  </si>
  <si>
    <t>Rychnov n/Kněžnou (Slatina)</t>
  </si>
  <si>
    <t>Semily (Libštát)</t>
  </si>
  <si>
    <t>Sokolov</t>
  </si>
  <si>
    <t>Strakonice</t>
  </si>
  <si>
    <t>Svidník</t>
  </si>
  <si>
    <t>Svitavy (Moravská Třebová)</t>
  </si>
  <si>
    <t>Šumperk</t>
  </si>
  <si>
    <t>Tábor</t>
  </si>
  <si>
    <t>Tachov (Stříbro)</t>
  </si>
  <si>
    <t>Teplice</t>
  </si>
  <si>
    <t>Trutnov</t>
  </si>
  <si>
    <t>Třebíč (Bítovánky)</t>
  </si>
  <si>
    <t>Uherské Hradiště (Buchlovice)</t>
  </si>
  <si>
    <t>Ústí nad Labem</t>
  </si>
  <si>
    <t>Ústí nad Orlicí</t>
  </si>
  <si>
    <t>Vsetín</t>
  </si>
  <si>
    <t>Vyškov</t>
  </si>
  <si>
    <t>Zlín (Napajedla)</t>
  </si>
  <si>
    <t>Znojmo</t>
  </si>
  <si>
    <t>Žďár nad Sázavou</t>
  </si>
  <si>
    <t>vyber lokalitu</t>
  </si>
  <si>
    <t>G222</t>
  </si>
  <si>
    <t>G228</t>
  </si>
  <si>
    <t>G238</t>
  </si>
  <si>
    <t>G248</t>
  </si>
  <si>
    <t>Geo G</t>
  </si>
  <si>
    <t>BO/W35</t>
  </si>
  <si>
    <t>B0/W45</t>
  </si>
  <si>
    <t>BO/W55</t>
  </si>
  <si>
    <t>Název vlastního TČ</t>
  </si>
  <si>
    <t>potřeba tepla pro přípravu TV ,ax</t>
  </si>
  <si>
    <t>Qtv,max</t>
  </si>
  <si>
    <t>n</t>
  </si>
  <si>
    <t>Qtv,optim</t>
  </si>
  <si>
    <t>současnost přípravy TV</t>
  </si>
  <si>
    <t>Q, tv</t>
  </si>
  <si>
    <t>Příprava TV</t>
  </si>
  <si>
    <t>kWh</t>
  </si>
  <si>
    <t>kWh/den</t>
  </si>
  <si>
    <t>Dny pro TV</t>
  </si>
  <si>
    <t>potřeva TV</t>
  </si>
  <si>
    <t>potřeba ztráty</t>
  </si>
  <si>
    <t>QTV</t>
  </si>
  <si>
    <t>TV mimo ot obd</t>
  </si>
  <si>
    <t>počet dní</t>
  </si>
  <si>
    <t>Qtv</t>
  </si>
  <si>
    <t>Qtv,leto</t>
  </si>
  <si>
    <t>celkem</t>
  </si>
  <si>
    <t>COP</t>
  </si>
  <si>
    <t>cop</t>
  </si>
  <si>
    <t>COP - TČ</t>
  </si>
  <si>
    <t xml:space="preserve">Qtv,biv </t>
  </si>
  <si>
    <t>Qut+tv,TV</t>
  </si>
  <si>
    <t>Qut+tv,biv</t>
  </si>
  <si>
    <t>Qtv,biv</t>
  </si>
  <si>
    <t>Qtv,tc</t>
  </si>
  <si>
    <t xml:space="preserve">Mn elektrické energie </t>
  </si>
  <si>
    <t>COP prům</t>
  </si>
  <si>
    <t>COP TV</t>
  </si>
  <si>
    <t>pomocné</t>
  </si>
  <si>
    <t>Qut,tc</t>
  </si>
  <si>
    <t>Qut,biv</t>
  </si>
  <si>
    <t>Eut,tc</t>
  </si>
  <si>
    <t>Eut,biv</t>
  </si>
  <si>
    <t>Etv,tc</t>
  </si>
  <si>
    <t>Etv,biv</t>
  </si>
  <si>
    <t>množství el energie</t>
  </si>
  <si>
    <t>A15</t>
  </si>
  <si>
    <t>E,tc</t>
  </si>
  <si>
    <t>E,biv</t>
  </si>
  <si>
    <t xml:space="preserve">       </t>
  </si>
  <si>
    <t xml:space="preserve">°C </t>
  </si>
  <si>
    <t>průměrná teplota pro COP pro TV</t>
  </si>
  <si>
    <t>od bodu bivalence do léta včetně</t>
  </si>
  <si>
    <t>počet osob</t>
  </si>
  <si>
    <t>osob</t>
  </si>
  <si>
    <t>potřeba TV</t>
  </si>
  <si>
    <t>kWh/l</t>
  </si>
  <si>
    <t>doba potřeba přípravy TV</t>
  </si>
  <si>
    <t>kWh/rok</t>
  </si>
  <si>
    <t>ztráty</t>
  </si>
  <si>
    <t>koef</t>
  </si>
  <si>
    <t>Qtv,rok</t>
  </si>
  <si>
    <t>litrů/den)</t>
  </si>
  <si>
    <t>Vtv</t>
  </si>
  <si>
    <t>l/den</t>
  </si>
  <si>
    <t>Zákazník</t>
  </si>
  <si>
    <t>Viktor Topič</t>
  </si>
  <si>
    <t xml:space="preserve">Tepelná ztráta domu </t>
  </si>
  <si>
    <t xml:space="preserve">Podlahový s teplotou 35°C </t>
  </si>
  <si>
    <t>Kód příležitosti CRM (povinné)</t>
  </si>
  <si>
    <t>Výkon pro VZT</t>
  </si>
  <si>
    <t xml:space="preserve">Podlahový s teplotou 45°C </t>
  </si>
  <si>
    <t>Bez evidence příležitosti v CRM není použití této nabídky povolené</t>
  </si>
  <si>
    <t>Radiátorový s teplotou 55°C</t>
  </si>
  <si>
    <t>Lokalita projektu</t>
  </si>
  <si>
    <t>Výkon pro přípravu TV</t>
  </si>
  <si>
    <t>Nezateplená budova</t>
  </si>
  <si>
    <t>w/m2</t>
  </si>
  <si>
    <t xml:space="preserve">Venkovní výpočtová teplota </t>
  </si>
  <si>
    <t xml:space="preserve">Částečně zateplená </t>
  </si>
  <si>
    <t xml:space="preserve">Zateplená nebo novostavba </t>
  </si>
  <si>
    <t>Volba zdroje tepla</t>
  </si>
  <si>
    <t>Vytápěná plocha (m2)</t>
  </si>
  <si>
    <t>2 až 4 lidé (přidat výkon 0,8 kW)</t>
  </si>
  <si>
    <t>Běžná spotřeba vody</t>
  </si>
  <si>
    <t>Bežná spotreba vody</t>
  </si>
  <si>
    <t>4 až 8 lidí (přidat výkon 1,5 kW)</t>
  </si>
  <si>
    <t>Zvýšená spotřeba vody</t>
  </si>
  <si>
    <t>Zvýšená spotreba vody</t>
  </si>
  <si>
    <t>Tepelná ztráta podle vyt. plochy</t>
  </si>
  <si>
    <t>Bez ohřevu vody (0 kW)</t>
  </si>
  <si>
    <t>Bez ohřevu vody</t>
  </si>
  <si>
    <t>Bez ohrevu vody</t>
  </si>
  <si>
    <t xml:space="preserve">Topný systém </t>
  </si>
  <si>
    <t xml:space="preserve">Špičkový výkon zdroje tepla </t>
  </si>
  <si>
    <t>Vlastní TČ</t>
  </si>
  <si>
    <t>Roční potřeba tepla pro přípravu TV</t>
  </si>
  <si>
    <t>Qtv TV (vypočítaný)</t>
  </si>
  <si>
    <t>Redukovaná roční potřeba TV</t>
  </si>
  <si>
    <t>verze 2021/5</t>
  </si>
  <si>
    <t>Legenda</t>
  </si>
  <si>
    <t>hodnoty editovatelné</t>
  </si>
  <si>
    <t>l/os</t>
  </si>
  <si>
    <t xml:space="preserve">Bydlení </t>
  </si>
  <si>
    <t>Administrativa</t>
  </si>
  <si>
    <t>Hotel</t>
  </si>
  <si>
    <t>Špinavý provoz</t>
  </si>
  <si>
    <t>Nemocnice</t>
  </si>
  <si>
    <t>Novostavba pasiv, rekup.</t>
  </si>
  <si>
    <t>XXXXXX</t>
  </si>
  <si>
    <t>hodnoty vypočítané</t>
  </si>
  <si>
    <t>Maximum Heating Output Air X</t>
  </si>
  <si>
    <t>Note:</t>
  </si>
  <si>
    <t>Values at W55 not valid for DHW production.</t>
  </si>
  <si>
    <t>COP at Maximum Output</t>
  </si>
  <si>
    <t>ODU W 4</t>
  </si>
  <si>
    <t>ODU W 6</t>
  </si>
  <si>
    <t>ODU W 8</t>
  </si>
  <si>
    <t>ODU W 11</t>
  </si>
  <si>
    <t>ODU W 14</t>
  </si>
  <si>
    <t>do vykony TC</t>
  </si>
  <si>
    <t>AIR X 70</t>
  </si>
  <si>
    <t>AIR X 90</t>
  </si>
  <si>
    <t>Střední teplota vnitřního vzduchu</t>
  </si>
  <si>
    <t xml:space="preserve">Délka otopného období </t>
  </si>
  <si>
    <t>Tepelné čerpadlo</t>
  </si>
  <si>
    <t>Počet TČ v kaskádě</t>
  </si>
  <si>
    <t>Technologie a ostatní</t>
  </si>
  <si>
    <t>Špičkový na výkon zdroje</t>
  </si>
  <si>
    <t xml:space="preserve">Bivalentní bod </t>
  </si>
  <si>
    <t>Počet osob</t>
  </si>
  <si>
    <t>Typ provozu</t>
  </si>
  <si>
    <t>Potřeba litrů na osobu</t>
  </si>
  <si>
    <t>Současnost</t>
  </si>
  <si>
    <t>POMOCNÝ VÝPOČET: Příprava TV</t>
  </si>
  <si>
    <t>POMOCNÝ VÝPOČET: Tepelná ztráta objektu z plochy a typu stavby</t>
  </si>
  <si>
    <t>POZN: Pokud nejsou známy hodnoty ztrát, výkonů technologií a přípravy TV, níže jsou pomocné výpočty pro jejich rychlý odhad</t>
  </si>
  <si>
    <t>Lokalita stavby</t>
  </si>
  <si>
    <t>Hodnoty požadovaných výkonů objektu</t>
  </si>
  <si>
    <t>Výsledné výkony TČ a bivalence</t>
  </si>
  <si>
    <t xml:space="preserve">Roční spotřeba el. enegie TČ a bivalentního zdroje </t>
  </si>
  <si>
    <t>teplo</t>
  </si>
  <si>
    <t xml:space="preserve">el energie </t>
  </si>
  <si>
    <t>Roční dodávka tepla TČ a bivalentním zdrojem</t>
  </si>
  <si>
    <t xml:space="preserve">VÝPOČET POMĚRŮ SPOTŘEBY TEPLA A ELEKTŘINY                  TEPELNÝM ČERPADLEM A BIVALENTNÍM ZDROJEM </t>
  </si>
  <si>
    <t>Návod pro použití výpočetního excelu: Poměry spotřeb tepla a elektřiny tepelným čerpadlem a bivalentním zdrojem</t>
  </si>
  <si>
    <t xml:space="preserve">Úvod: 
Tento výpočetní excel vznikl, jako projektantská pomůcka pro lepší znázornění a pochopení problematiky volby výkonu tepelného čerpadla vzduch/voda nebo země/voda v poměru  ke špičkovému požadavku na zdroj tepla objektu. 
Doporučený výkon tepelného čerpadla se pohybuje přibližně v rozmezí 60-80% celkové potřeby objektu. Více se můžete dozvědět na https://www.projektuj-tepelna-cerpadla.cz/cz/jak-mam-navrhnout.
Výstup tohoto výpočetního excelu pak znázornňuje  poměr dodané energie do objektu tepelným čerpadlem a bivalentním zdrojem. Je možné volit zdroje tepla téměř z kompletního sortimentu námi dodávaných tepelných čerpadel a zvolit tak ideální výkon zdroje a optimalizovat jednotlivé výkony především z investičních důvodů. </t>
  </si>
  <si>
    <t xml:space="preserve">Celý excel obsahuje několik typů podbarvení. </t>
  </si>
  <si>
    <t>hodnoty editovatelné - do těchto polí lze zadávat data v předepsaném formátu</t>
  </si>
  <si>
    <t>hodnoty vypočítané - nelze editovat</t>
  </si>
  <si>
    <t>označení pomocných výpočtů</t>
  </si>
  <si>
    <t xml:space="preserve">Pro zadávání hodnot platí pouze několik jednoduchých pravidel. </t>
  </si>
  <si>
    <r>
      <rPr>
        <b/>
        <sz val="11"/>
        <color theme="1"/>
        <rFont val="Calibri"/>
        <family val="2"/>
        <charset val="238"/>
        <scheme val="minor"/>
      </rPr>
      <t xml:space="preserve">Lokalita stavby: </t>
    </r>
    <r>
      <rPr>
        <sz val="11"/>
        <color theme="1"/>
        <rFont val="Calibri"/>
        <family val="2"/>
        <charset val="238"/>
        <scheme val="minor"/>
      </rPr>
      <t xml:space="preserve">
- na výběr je pouze z přednastavených lokalit - vyberte případně nejbližší vaší lokalitě. 
- střední teplota je braná jako doporučení u obytných staveb - může se lišit</t>
    </r>
  </si>
  <si>
    <r>
      <rPr>
        <b/>
        <sz val="11"/>
        <color theme="1"/>
        <rFont val="Calibri"/>
        <family val="2"/>
        <charset val="238"/>
        <scheme val="minor"/>
      </rPr>
      <t>Hodnoty požadovaných výkonů budovy:</t>
    </r>
    <r>
      <rPr>
        <sz val="11"/>
        <color theme="1"/>
        <rFont val="Calibri"/>
        <family val="2"/>
        <charset val="238"/>
        <scheme val="minor"/>
      </rPr>
      <t xml:space="preserve"> 
(zadává se vždy v jednotkách [kW]) - zadává se pouze hodnota
Hodnotu kW není nutné vpisovat, políčko je naformátované pro dopsání koncovky kW automaticky </t>
    </r>
  </si>
  <si>
    <r>
      <t xml:space="preserve">Po zadání veškerých dostupných hodnot z požadavků budovy se vypočítává požadavek na špičkový výkon zdroje ze vzorečků 
Q1 = Qut + Qvzt + Q tech
Q2 = (Qut + Qvzt + Qtech) * 0,7 + Qtv
Qzdroj = max(Q1;Q2) 
</t>
    </r>
    <r>
      <rPr>
        <i/>
        <sz val="11"/>
        <color theme="1"/>
        <rFont val="Calibri"/>
        <family val="2"/>
        <charset val="238"/>
        <scheme val="minor"/>
      </rPr>
      <t xml:space="preserve">
Legenda: 
Qut - výkon pro vytápění (pokrytí prostupu i přirozeného větrání řešeného objektu) [kW] *
Qvzt - výkon pro ohřev VZT jednotek [kW]
Qtech - výkon pro ostatní technologie [kW]
Qtv - výkon pro ohřev teplé vody [kW]
</t>
    </r>
    <r>
      <rPr>
        <sz val="11"/>
        <color theme="1"/>
        <rFont val="Calibri"/>
        <family val="2"/>
        <charset val="238"/>
        <scheme val="minor"/>
      </rPr>
      <t xml:space="preserve">*V případě, že není známa ztráta řešeného objektu je možné využít pomocnou tabulku na str. 2 "Tepelná ztráta z plochy a typu objektu", ze které vzejde hrubý výpočet tepelných ztrát objektu. </t>
    </r>
  </si>
  <si>
    <r>
      <rPr>
        <b/>
        <sz val="11"/>
        <color theme="1"/>
        <rFont val="Calibri"/>
        <family val="2"/>
        <charset val="238"/>
        <scheme val="minor"/>
      </rPr>
      <t>POZOR: Velmi důležité je věnovat pozornost požadavku na teplou vodu</t>
    </r>
    <r>
      <rPr>
        <sz val="11"/>
        <color theme="1"/>
        <rFont val="Calibri"/>
        <family val="2"/>
        <charset val="238"/>
        <scheme val="minor"/>
      </rPr>
      <t>.
V mnohých případech bývá požadavek na výkon pro přípravu teplé vody výrazně předimenzován a dochází pak k volbě zbytečně vysoké výkonnové řady tepelného čerpadla. Doporučuji použít pomocný výpočet pro spotřebu teplé vody. 
Pro lepší optimalizaci výkonů pro přípravu teplé vody je možné kontaktovat nás viz níže</t>
    </r>
  </si>
  <si>
    <r>
      <rPr>
        <b/>
        <sz val="11"/>
        <color theme="1"/>
        <rFont val="Calibri"/>
        <family val="2"/>
        <charset val="238"/>
        <scheme val="minor"/>
      </rPr>
      <t xml:space="preserve">Volba zdroje tepla: </t>
    </r>
    <r>
      <rPr>
        <sz val="11"/>
        <color theme="1"/>
        <rFont val="Calibri"/>
        <family val="2"/>
        <charset val="238"/>
        <scheme val="minor"/>
      </rPr>
      <t xml:space="preserve">
Zde je možné vybrat zdroj tepla pouze z tepelných čerpadel, které naleznete v rozklikávacím seznamu. Postupem času dojde k doplňování další tepelných čerpadel. 
Lze volit pouze jeden typ tepelného čerpadla a jeho počet v kaskádě. 
NELZE volit kombinaci různých tepelných čerpadel. Program slouží pouze jako ilustrační a téměř vždy lze nakombinovat zdroj tepla z přednastavených. 
V případě atypického požadavku je možné kontaktovat tvůrce viz kontakt níže. </t>
    </r>
  </si>
  <si>
    <t xml:space="preserve">Výsledky: </t>
  </si>
  <si>
    <r>
      <t xml:space="preserve">Z výsledků je pak patrný 
výkon zdroje pro návrhovou teplotu
výkon bivalentního zdroje pro návrhovou teplotu
bivalentní bod
Celkové teplo dodané tepelným čerpadlem v průběhu otopné sezóny
Celkové teplo dodané bivalentním zdrojem v průběhu otopné sezóny
Celková spotřeba elektrické energie tepelným čerpadlem v průběhu otopné sezóny
Celková spotřeba elektrické energie bivalentním zdrojem - elektrokotel (počítáno s účinností 1) 
</t>
    </r>
    <r>
      <rPr>
        <b/>
        <i/>
        <sz val="11"/>
        <color theme="1"/>
        <rFont val="Calibri"/>
        <family val="2"/>
        <charset val="238"/>
        <scheme val="minor"/>
      </rPr>
      <t xml:space="preserve">
POZNÁMKA K VÝPOČTŮM: 
Celkové teplo dodané objektu je počítáno denostupňovou metodou. Od reálných spotřeb se tak tento výpočet bude lišit. Nejsou zde započítány zisky budovy/obsazenost
Četnost počtu dní s venkovními teplotami jsou vypočítány z empirického vzorce</t>
    </r>
  </si>
  <si>
    <t>Tvůrce: Ing. Filip Špindler, email: spindler@protc.cz</t>
  </si>
  <si>
    <t xml:space="preserve">Typ </t>
  </si>
  <si>
    <t>V</t>
  </si>
  <si>
    <t>Z</t>
  </si>
  <si>
    <t xml:space="preserve">Úprava energie vzducháč o odtávání </t>
  </si>
  <si>
    <t xml:space="preserve">přirážka </t>
  </si>
  <si>
    <t>typ</t>
  </si>
  <si>
    <t>vc odtavani pro VZ</t>
  </si>
  <si>
    <t>navýšené o odtávání pro vzducháče</t>
  </si>
  <si>
    <t>Výkonová tabulka použitých tepelných čerpadel (bez zohlednění % výkonu TČ</t>
  </si>
  <si>
    <t>Typ TČ</t>
  </si>
  <si>
    <t>teplota systému</t>
  </si>
  <si>
    <t>Venkovní teplota</t>
  </si>
  <si>
    <t>Q</t>
  </si>
  <si>
    <t>výkon(Q)/COP</t>
  </si>
  <si>
    <t>EcoAIR 3-18</t>
  </si>
  <si>
    <t>EcoAIR 1-7</t>
  </si>
  <si>
    <t>EcoAIR 1-9</t>
  </si>
  <si>
    <t>EcoAIR 3-12</t>
  </si>
  <si>
    <t>Specific ID</t>
  </si>
  <si>
    <t>Vybrane TC</t>
  </si>
  <si>
    <t>zkracey</t>
  </si>
  <si>
    <t>IVT Air X 50</t>
  </si>
  <si>
    <t>IVT Air X 70</t>
  </si>
  <si>
    <t>IVT Air X 90</t>
  </si>
  <si>
    <t>IVT Air X 130</t>
  </si>
  <si>
    <t>IVT Air X 170</t>
  </si>
  <si>
    <t>Ecoforest EcoAIR 1-7</t>
  </si>
  <si>
    <t>Ecoforest EcoAIR 1-9</t>
  </si>
  <si>
    <t>Ecoforest EcoAIR 3-12</t>
  </si>
  <si>
    <t>Ecoforest EcoAIR 3-18</t>
  </si>
  <si>
    <t>IVT GEO G 222</t>
  </si>
  <si>
    <t>IVT GEO G 228</t>
  </si>
  <si>
    <t>IVT GEO G 238</t>
  </si>
  <si>
    <t>IVT GEO G 248</t>
  </si>
  <si>
    <t>IVT GEO G 254</t>
  </si>
  <si>
    <t>IVT GEO G 264</t>
  </si>
  <si>
    <t>IVT GEO G 272</t>
  </si>
  <si>
    <t>IVT GEO G 280</t>
  </si>
  <si>
    <t>Ecoforest Eco Geo 12-40</t>
  </si>
  <si>
    <t>Ecoforest Eco Geo 15-70</t>
  </si>
  <si>
    <t>Ecoforest Eco Geo 25-100</t>
  </si>
  <si>
    <t>Wxx</t>
  </si>
  <si>
    <t>WTV</t>
  </si>
  <si>
    <t>sloupeček</t>
  </si>
  <si>
    <t>ID</t>
  </si>
  <si>
    <t>ID COP</t>
  </si>
  <si>
    <t>Výkon</t>
  </si>
  <si>
    <t>tabulka výkonu vybranehoTC</t>
  </si>
  <si>
    <t>QW55</t>
  </si>
  <si>
    <t>ID W55</t>
  </si>
  <si>
    <t>ID W55 COP</t>
  </si>
  <si>
    <t>COP W55</t>
  </si>
  <si>
    <t>COP*dny</t>
  </si>
  <si>
    <t>COP UT</t>
  </si>
  <si>
    <t>bod bivalence</t>
  </si>
  <si>
    <t>Množství TV léto</t>
  </si>
  <si>
    <t xml:space="preserve">dny </t>
  </si>
  <si>
    <t>Průměrný výkon-hodinový</t>
  </si>
  <si>
    <t>Teplo TV</t>
  </si>
  <si>
    <t>COPTV</t>
  </si>
  <si>
    <t>prum T leto</t>
  </si>
  <si>
    <t>el. energie leto</t>
  </si>
  <si>
    <t>typ TČ</t>
  </si>
  <si>
    <t>Energie TV</t>
  </si>
  <si>
    <t>Qcelk TV, rok</t>
  </si>
  <si>
    <t>E,TV</t>
  </si>
  <si>
    <t>teplo pro TV</t>
  </si>
  <si>
    <t>elektřina pro TV</t>
  </si>
  <si>
    <t>motohod.</t>
  </si>
  <si>
    <t>TC</t>
  </si>
  <si>
    <t>COP TV*dny</t>
  </si>
  <si>
    <t>Vytápění - dodané teplo TČ</t>
  </si>
  <si>
    <t>Dodané teplo TC vytapeni</t>
  </si>
  <si>
    <t>Dodane teplo bivalence vytapeni</t>
  </si>
  <si>
    <t>% TC</t>
  </si>
  <si>
    <t xml:space="preserve">%bivalence </t>
  </si>
  <si>
    <t>Vytápění - spotřeba elektřiny TČ</t>
  </si>
  <si>
    <t>Vytápění - spotřeba elektřiny biv.</t>
  </si>
  <si>
    <t>MWh TV - bivalence</t>
  </si>
  <si>
    <t>TV - zima TC</t>
  </si>
  <si>
    <t xml:space="preserve">MWh </t>
  </si>
  <si>
    <t>TV - léto TC</t>
  </si>
  <si>
    <t>TV - TC</t>
  </si>
  <si>
    <t xml:space="preserve">Příprava TV - spotřeba el. celkem </t>
  </si>
  <si>
    <t>Elektřina - Příprava TV</t>
  </si>
  <si>
    <t>TV leto TC</t>
  </si>
  <si>
    <t xml:space="preserve">Biv </t>
  </si>
  <si>
    <t>COP - TC - vytápění</t>
  </si>
  <si>
    <t>COP - TC - TV</t>
  </si>
  <si>
    <t>te&lt;tbiv</t>
  </si>
  <si>
    <t>Celkové množství dodaného tepla TČ</t>
  </si>
  <si>
    <t>Celkové množství tepla dodaného bivalencí</t>
  </si>
  <si>
    <t>Celkové mnžoství elektrické energie - TČ</t>
  </si>
  <si>
    <t xml:space="preserve">Celkové množstív el energie bivalence </t>
  </si>
  <si>
    <t xml:space="preserve">Dodané teplo TČ - celkem </t>
  </si>
  <si>
    <t>Příprava TV - Dodatené teplo</t>
  </si>
  <si>
    <t>Dodané teplo bivalencí - celkem</t>
  </si>
  <si>
    <t xml:space="preserve">Spotřeba elektřiny TČ - celkem </t>
  </si>
  <si>
    <t>Spotřeba elektřiny biv. - celkem</t>
  </si>
  <si>
    <t>Koeficient zemaky</t>
  </si>
  <si>
    <t>ID vyhledavano podle zkraceneho nazvu a Wxx</t>
  </si>
  <si>
    <t>ID W55 vyhledavano podle zkraceneho nazvu a Wtv</t>
  </si>
  <si>
    <t>EcoG12-40</t>
  </si>
  <si>
    <t>EcoG15-70</t>
  </si>
  <si>
    <t>EcoG25-100</t>
  </si>
  <si>
    <t>Počet čerpadel</t>
  </si>
  <si>
    <t>kuys</t>
  </si>
  <si>
    <t>Premium EQ E6</t>
  </si>
  <si>
    <t>Premium EQ E8</t>
  </si>
  <si>
    <t>Premium EQ E10</t>
  </si>
  <si>
    <t>Premium EQ E13</t>
  </si>
  <si>
    <t>Premium EQ E17</t>
  </si>
  <si>
    <t>EQ E6</t>
  </si>
  <si>
    <t>EQ E8</t>
  </si>
  <si>
    <t>EQ E10</t>
  </si>
  <si>
    <t>EQ E13</t>
  </si>
  <si>
    <t>EQ E17</t>
  </si>
  <si>
    <t>B0</t>
  </si>
  <si>
    <t>B5</t>
  </si>
  <si>
    <t>B10</t>
  </si>
  <si>
    <t xml:space="preserve">Poznámka: </t>
  </si>
  <si>
    <t xml:space="preserve">Vývoj výkonu vzatý z tabulky 0-5 nebo 0-10. Vývoj výkonu a COP mezi -12 a 10 °C </t>
  </si>
  <si>
    <t xml:space="preserve">Na obě strany pak výkon a COP zustava stejný </t>
  </si>
  <si>
    <t>Vytápění - dodané teplo biv.</t>
  </si>
  <si>
    <t xml:space="preserve">Výpočet z množství energie </t>
  </si>
  <si>
    <t>Vytápěcí denostupně</t>
  </si>
  <si>
    <t>Opravný součinitel</t>
  </si>
  <si>
    <t>e</t>
  </si>
  <si>
    <t>(koeficient</t>
  </si>
  <si>
    <t>n0</t>
  </si>
  <si>
    <t>e/(n0*nr)</t>
  </si>
  <si>
    <t>Qvyt,r</t>
  </si>
  <si>
    <t xml:space="preserve">Množství energie </t>
  </si>
  <si>
    <t>Qc</t>
  </si>
  <si>
    <t>Požadovaný výkon zdroje</t>
  </si>
  <si>
    <t>Účinnost stávajícího zdroje</t>
  </si>
  <si>
    <t>Spotřeba tepla TV</t>
  </si>
  <si>
    <t xml:space="preserve">Výpočet ptořeby TV z energie </t>
  </si>
  <si>
    <t>Hustota vody</t>
  </si>
  <si>
    <t>ró</t>
  </si>
  <si>
    <t>měrná tep kapacita vody</t>
  </si>
  <si>
    <t>J/kg.K</t>
  </si>
  <si>
    <t>kg/m3</t>
  </si>
  <si>
    <t>t1</t>
  </si>
  <si>
    <t>t2</t>
  </si>
  <si>
    <t>Vstupni teplota</t>
  </si>
  <si>
    <t>výstupní teplota</t>
  </si>
  <si>
    <t>teplota SV léto</t>
  </si>
  <si>
    <t>teplota SV zima</t>
  </si>
  <si>
    <t>tsvl</t>
  </si>
  <si>
    <t>tsvz</t>
  </si>
  <si>
    <t>Počet dní v roce TV</t>
  </si>
  <si>
    <t>N</t>
  </si>
  <si>
    <t>koef ztrát v rozvodu</t>
  </si>
  <si>
    <t xml:space="preserve">z </t>
  </si>
  <si>
    <t>N-d</t>
  </si>
  <si>
    <t>t2-tsvl/svz</t>
  </si>
  <si>
    <t>Roční spotřeba tepla TV</t>
  </si>
  <si>
    <t>Qtuv,r</t>
  </si>
  <si>
    <t>Qtuv.d</t>
  </si>
  <si>
    <t>V2</t>
  </si>
  <si>
    <t>Potřeba vody</t>
  </si>
  <si>
    <t>m3/den</t>
  </si>
  <si>
    <t>Spotřeba TV</t>
  </si>
  <si>
    <t>Spotřeba tepla</t>
  </si>
  <si>
    <t>Pomocný výpočet výkonu a TV ze spotřeb tepla</t>
  </si>
  <si>
    <t>Výpočet je pouze pomocný - data se dále nepropisují automaticky</t>
  </si>
  <si>
    <r>
      <t xml:space="preserve">Data energií se dále </t>
    </r>
    <r>
      <rPr>
        <b/>
        <i/>
        <sz val="9"/>
        <color theme="1"/>
        <rFont val="Calibri"/>
        <family val="2"/>
        <charset val="238"/>
        <scheme val="minor"/>
      </rPr>
      <t>propisují</t>
    </r>
    <r>
      <rPr>
        <i/>
        <sz val="9"/>
        <color theme="1"/>
        <rFont val="Calibri"/>
        <family val="2"/>
        <charset val="238"/>
        <scheme val="minor"/>
      </rPr>
      <t xml:space="preserve"> do celkové bilance se započítanou současností!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</si>
</sst>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0.0%"/>
    <numFmt numFmtId="166" formatCode="0.000"/>
    <numFmt numFmtId="167" formatCode="0.0__&quot;kW&quot;"/>
    <numFmt numFmtId="168" formatCode="0&quot;°C&quot;"/>
    <numFmt numFmtId="169" formatCode="0&quot; °C&quot;"/>
    <numFmt numFmtId="170" formatCode="0__&quot;dnů&quot;"/>
    <numFmt numFmtId="171" formatCode="0.00__&quot;MWh&quot;"/>
    <numFmt numFmtId="172" formatCode="0.0__&quot;kWh&quot;"/>
    <numFmt numFmtId="173" formatCode="0__&quot;l/os&quot;"/>
    <numFmt numFmtId="174" formatCode="0.000000000000000000000000000000000000000000"/>
    <numFmt numFmtId="175" formatCode="0.0000"/>
    <numFmt numFmtId="176" formatCode="0.00__&quot;m3/den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26"/>
      <color rgb="FF00628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84">
    <xf numFmtId="0" fontId="0" fillId="0" borderId="0" xfId="0"/>
    <xf numFmtId="0" fontId="0" fillId="0" borderId="0" xfId="0" quotePrefix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0" fontId="0" fillId="0" borderId="0" xfId="0" applyNumberFormat="1"/>
    <xf numFmtId="0" fontId="0" fillId="3" borderId="0" xfId="0" applyFill="1"/>
    <xf numFmtId="0" fontId="0" fillId="0" borderId="1" xfId="0" applyBorder="1"/>
    <xf numFmtId="10" fontId="0" fillId="0" borderId="1" xfId="0" applyNumberFormat="1" applyBorder="1"/>
    <xf numFmtId="10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Fill="1"/>
    <xf numFmtId="165" fontId="0" fillId="0" borderId="0" xfId="0" applyNumberFormat="1" applyAlignment="1">
      <alignment horizontal="center"/>
    </xf>
    <xf numFmtId="10" fontId="0" fillId="0" borderId="2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0" fontId="0" fillId="0" borderId="1" xfId="0" applyNumberFormat="1" applyBorder="1"/>
    <xf numFmtId="0" fontId="0" fillId="4" borderId="0" xfId="0" applyFill="1"/>
    <xf numFmtId="2" fontId="0" fillId="4" borderId="0" xfId="0" applyNumberFormat="1" applyFill="1"/>
    <xf numFmtId="0" fontId="1" fillId="0" borderId="1" xfId="0" applyFont="1" applyBorder="1"/>
    <xf numFmtId="0" fontId="1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left"/>
    </xf>
    <xf numFmtId="0" fontId="0" fillId="5" borderId="0" xfId="0" applyFill="1" applyAlignment="1">
      <alignment horizontal="center"/>
    </xf>
    <xf numFmtId="164" fontId="0" fillId="4" borderId="0" xfId="0" applyNumberFormat="1" applyFill="1"/>
    <xf numFmtId="0" fontId="0" fillId="4" borderId="1" xfId="0" applyFill="1" applyBorder="1" applyAlignment="1">
      <alignment horizontal="center"/>
    </xf>
    <xf numFmtId="164" fontId="0" fillId="5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right"/>
    </xf>
    <xf numFmtId="0" fontId="0" fillId="0" borderId="0" xfId="0" applyFill="1" applyAlignment="1"/>
    <xf numFmtId="0" fontId="0" fillId="2" borderId="1" xfId="0" applyFill="1" applyBorder="1" applyAlignment="1">
      <alignment horizontal="center"/>
    </xf>
    <xf numFmtId="1" fontId="0" fillId="0" borderId="1" xfId="0" applyNumberFormat="1" applyBorder="1"/>
    <xf numFmtId="0" fontId="0" fillId="0" borderId="0" xfId="0" applyAlignment="1">
      <alignment wrapText="1"/>
    </xf>
    <xf numFmtId="1" fontId="0" fillId="0" borderId="0" xfId="0" applyNumberFormat="1"/>
    <xf numFmtId="166" fontId="0" fillId="0" borderId="1" xfId="0" applyNumberFormat="1" applyBorder="1"/>
    <xf numFmtId="0" fontId="0" fillId="0" borderId="0" xfId="0" applyBorder="1"/>
    <xf numFmtId="1" fontId="0" fillId="3" borderId="0" xfId="0" applyNumberFormat="1" applyFill="1"/>
    <xf numFmtId="2" fontId="0" fillId="0" borderId="0" xfId="0" applyNumberForma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5" xfId="0" applyBorder="1"/>
    <xf numFmtId="0" fontId="0" fillId="0" borderId="14" xfId="0" quotePrefix="1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0" xfId="0" applyFill="1" applyBorder="1"/>
    <xf numFmtId="0" fontId="0" fillId="0" borderId="0" xfId="0" applyAlignment="1">
      <alignment horizontal="left" vertical="center" wrapText="1"/>
    </xf>
    <xf numFmtId="0" fontId="0" fillId="0" borderId="0" xfId="0" applyProtection="1">
      <protection hidden="1"/>
    </xf>
    <xf numFmtId="167" fontId="5" fillId="2" borderId="19" xfId="0" applyNumberFormat="1" applyFont="1" applyFill="1" applyBorder="1" applyAlignment="1" applyProtection="1">
      <alignment horizontal="center" vertical="center"/>
      <protection hidden="1"/>
    </xf>
    <xf numFmtId="0" fontId="0" fillId="4" borderId="19" xfId="0" applyFill="1" applyBorder="1" applyProtection="1">
      <protection hidden="1"/>
    </xf>
    <xf numFmtId="0" fontId="7" fillId="7" borderId="19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8" borderId="0" xfId="0" applyFill="1"/>
    <xf numFmtId="2" fontId="0" fillId="8" borderId="0" xfId="0" applyNumberFormat="1" applyFill="1"/>
    <xf numFmtId="2" fontId="0" fillId="0" borderId="0" xfId="0" applyNumberFormat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75" fontId="0" fillId="0" borderId="0" xfId="0" applyNumberFormat="1"/>
    <xf numFmtId="166" fontId="0" fillId="0" borderId="0" xfId="0" applyNumberFormat="1"/>
    <xf numFmtId="1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right"/>
    </xf>
    <xf numFmtId="166" fontId="0" fillId="8" borderId="0" xfId="0" applyNumberFormat="1" applyFill="1"/>
    <xf numFmtId="0" fontId="0" fillId="0" borderId="20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/>
    </xf>
    <xf numFmtId="0" fontId="0" fillId="8" borderId="0" xfId="0" applyFill="1" applyBorder="1"/>
    <xf numFmtId="164" fontId="0" fillId="0" borderId="0" xfId="0" applyNumberFormat="1" applyFill="1"/>
    <xf numFmtId="2" fontId="0" fillId="0" borderId="0" xfId="0" applyNumberFormat="1" applyFill="1"/>
    <xf numFmtId="0" fontId="0" fillId="9" borderId="0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4" borderId="1" xfId="0" quotePrefix="1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11" borderId="1" xfId="0" applyNumberFormat="1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0" fillId="12" borderId="1" xfId="0" applyNumberFormat="1" applyFill="1" applyBorder="1" applyAlignment="1">
      <alignment horizontal="center"/>
    </xf>
    <xf numFmtId="0" fontId="0" fillId="13" borderId="1" xfId="0" applyNumberFormat="1" applyFill="1" applyBorder="1" applyAlignment="1">
      <alignment horizontal="center"/>
    </xf>
    <xf numFmtId="2" fontId="0" fillId="13" borderId="1" xfId="0" applyNumberFormat="1" applyFill="1" applyBorder="1" applyAlignment="1">
      <alignment horizontal="center" vertical="center"/>
    </xf>
    <xf numFmtId="0" fontId="0" fillId="9" borderId="1" xfId="0" quotePrefix="1" applyNumberFormat="1" applyFill="1" applyBorder="1" applyAlignment="1">
      <alignment horizontal="center"/>
    </xf>
    <xf numFmtId="0" fontId="0" fillId="11" borderId="1" xfId="0" quotePrefix="1" applyNumberFormat="1" applyFill="1" applyBorder="1" applyAlignment="1">
      <alignment horizontal="center"/>
    </xf>
    <xf numFmtId="0" fontId="0" fillId="6" borderId="1" xfId="0" quotePrefix="1" applyNumberFormat="1" applyFill="1" applyBorder="1" applyAlignment="1">
      <alignment horizontal="center"/>
    </xf>
    <xf numFmtId="0" fontId="0" fillId="12" borderId="1" xfId="0" quotePrefix="1" applyNumberFormat="1" applyFill="1" applyBorder="1" applyAlignment="1">
      <alignment horizontal="center"/>
    </xf>
    <xf numFmtId="0" fontId="0" fillId="13" borderId="1" xfId="0" quotePrefix="1" applyNumberFormat="1" applyFill="1" applyBorder="1" applyAlignment="1">
      <alignment horizontal="center"/>
    </xf>
    <xf numFmtId="0" fontId="0" fillId="14" borderId="1" xfId="0" applyNumberFormat="1" applyFill="1" applyBorder="1" applyAlignment="1">
      <alignment horizontal="center"/>
    </xf>
    <xf numFmtId="0" fontId="0" fillId="14" borderId="1" xfId="0" applyFill="1" applyBorder="1"/>
    <xf numFmtId="0" fontId="0" fillId="9" borderId="1" xfId="0" applyFill="1" applyBorder="1"/>
    <xf numFmtId="0" fontId="0" fillId="11" borderId="1" xfId="0" applyFill="1" applyBorder="1"/>
    <xf numFmtId="0" fontId="0" fillId="6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NumberFormat="1" applyFill="1" applyBorder="1"/>
    <xf numFmtId="0" fontId="0" fillId="6" borderId="1" xfId="0" applyNumberFormat="1" applyFill="1" applyBorder="1"/>
    <xf numFmtId="2" fontId="0" fillId="14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164" fontId="0" fillId="0" borderId="0" xfId="0" applyNumberFormat="1" applyFill="1" applyBorder="1"/>
    <xf numFmtId="0" fontId="0" fillId="0" borderId="9" xfId="0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4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164" fontId="0" fillId="0" borderId="9" xfId="0" applyNumberFormat="1" applyFill="1" applyBorder="1"/>
    <xf numFmtId="164" fontId="0" fillId="0" borderId="28" xfId="0" applyNumberFormat="1" applyFill="1" applyBorder="1"/>
    <xf numFmtId="2" fontId="0" fillId="0" borderId="28" xfId="0" applyNumberFormat="1" applyFill="1" applyBorder="1"/>
    <xf numFmtId="0" fontId="0" fillId="0" borderId="0" xfId="0" applyBorder="1" applyProtection="1">
      <protection hidden="1"/>
    </xf>
    <xf numFmtId="167" fontId="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67" fontId="5" fillId="6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quotePrefix="1" applyBorder="1" applyProtection="1">
      <protection hidden="1"/>
    </xf>
    <xf numFmtId="167" fontId="5" fillId="6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vertical="center"/>
      <protection hidden="1"/>
    </xf>
    <xf numFmtId="167" fontId="5" fillId="6" borderId="36" xfId="0" applyNumberFormat="1" applyFont="1" applyFill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176" fontId="5" fillId="6" borderId="16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Border="1" applyProtection="1">
      <protection hidden="1"/>
    </xf>
    <xf numFmtId="2" fontId="0" fillId="0" borderId="0" xfId="0" applyNumberFormat="1" applyBorder="1" applyProtection="1">
      <protection hidden="1"/>
    </xf>
    <xf numFmtId="172" fontId="5" fillId="6" borderId="11" xfId="0" applyNumberFormat="1" applyFont="1" applyFill="1" applyBorder="1" applyAlignment="1" applyProtection="1">
      <alignment horizontal="center" vertical="center"/>
      <protection hidden="1"/>
    </xf>
    <xf numFmtId="172" fontId="5" fillId="6" borderId="16" xfId="0" applyNumberFormat="1" applyFont="1" applyFill="1" applyBorder="1" applyAlignment="1" applyProtection="1">
      <alignment horizontal="center" vertical="center"/>
      <protection hidden="1"/>
    </xf>
    <xf numFmtId="167" fontId="5" fillId="6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167" fontId="5" fillId="6" borderId="21" xfId="0" applyNumberFormat="1" applyFont="1" applyFill="1" applyBorder="1" applyAlignment="1" applyProtection="1">
      <alignment horizontal="center" vertical="center"/>
      <protection hidden="1"/>
    </xf>
    <xf numFmtId="174" fontId="1" fillId="0" borderId="0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168" fontId="19" fillId="0" borderId="0" xfId="1" applyNumberFormat="1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7" fillId="0" borderId="0" xfId="0" quotePrefix="1" applyFont="1" applyBorder="1" applyProtection="1">
      <protection hidden="1"/>
    </xf>
    <xf numFmtId="0" fontId="17" fillId="0" borderId="0" xfId="0" applyFont="1" applyBorder="1" applyAlignment="1" applyProtection="1">
      <alignment vertical="center"/>
      <protection hidden="1"/>
    </xf>
    <xf numFmtId="167" fontId="19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vertical="center" wrapText="1"/>
      <protection hidden="1"/>
    </xf>
    <xf numFmtId="2" fontId="17" fillId="0" borderId="0" xfId="0" applyNumberFormat="1" applyFont="1" applyBorder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171" fontId="17" fillId="0" borderId="0" xfId="0" applyNumberFormat="1" applyFont="1" applyBorder="1" applyProtection="1">
      <protection hidden="1"/>
    </xf>
    <xf numFmtId="166" fontId="17" fillId="0" borderId="0" xfId="0" applyNumberFormat="1" applyFont="1" applyBorder="1" applyAlignment="1" applyProtection="1">
      <alignment horizontal="right"/>
      <protection hidden="1"/>
    </xf>
    <xf numFmtId="165" fontId="17" fillId="0" borderId="0" xfId="0" applyNumberFormat="1" applyFont="1" applyBorder="1" applyProtection="1">
      <protection hidden="1"/>
    </xf>
    <xf numFmtId="2" fontId="17" fillId="0" borderId="0" xfId="0" applyNumberFormat="1" applyFont="1" applyBorder="1" applyAlignment="1" applyProtection="1">
      <alignment horizontal="left"/>
      <protection hidden="1"/>
    </xf>
    <xf numFmtId="167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167" fontId="5" fillId="2" borderId="11" xfId="0" applyNumberFormat="1" applyFont="1" applyFill="1" applyBorder="1" applyAlignment="1" applyProtection="1">
      <alignment horizontal="center" vertical="center"/>
      <protection locked="0" hidden="1"/>
    </xf>
    <xf numFmtId="171" fontId="5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1" xfId="0" applyFont="1" applyFill="1" applyBorder="1" applyAlignment="1" applyProtection="1">
      <alignment horizontal="center" vertical="center"/>
      <protection locked="0" hidden="1"/>
    </xf>
    <xf numFmtId="171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1" xfId="0" applyFont="1" applyFill="1" applyBorder="1" applyAlignment="1" applyProtection="1">
      <alignment horizontal="center" vertical="center"/>
      <protection locked="0" hidden="1"/>
    </xf>
    <xf numFmtId="173" fontId="1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0" xfId="0" applyFont="1" applyBorder="1" applyAlignment="1" applyProtection="1">
      <alignment vertical="center"/>
      <protection hidden="1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13" fillId="7" borderId="6" xfId="0" applyFont="1" applyFill="1" applyBorder="1" applyAlignment="1" applyProtection="1">
      <alignment horizontal="center" vertical="center" wrapText="1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8" xfId="0" applyFont="1" applyFill="1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174" fontId="1" fillId="6" borderId="25" xfId="0" applyNumberFormat="1" applyFont="1" applyFill="1" applyBorder="1" applyAlignment="1" applyProtection="1">
      <alignment horizontal="center" vertical="center"/>
      <protection hidden="1"/>
    </xf>
    <xf numFmtId="174" fontId="1" fillId="6" borderId="21" xfId="0" applyNumberFormat="1" applyFont="1" applyFill="1" applyBorder="1" applyAlignment="1" applyProtection="1">
      <alignment horizontal="center" vertical="center"/>
      <protection hidden="1"/>
    </xf>
    <xf numFmtId="174" fontId="1" fillId="6" borderId="26" xfId="0" applyNumberFormat="1" applyFont="1" applyFill="1" applyBorder="1" applyAlignment="1" applyProtection="1">
      <alignment horizontal="center" vertical="center"/>
      <protection hidden="1"/>
    </xf>
    <xf numFmtId="174" fontId="1" fillId="6" borderId="16" xfId="0" applyNumberFormat="1" applyFont="1" applyFill="1" applyBorder="1" applyAlignment="1" applyProtection="1">
      <alignment horizontal="center" vertical="center"/>
      <protection hidden="1"/>
    </xf>
    <xf numFmtId="0" fontId="1" fillId="6" borderId="6" xfId="0" applyFont="1" applyFill="1" applyBorder="1" applyAlignment="1" applyProtection="1">
      <alignment horizontal="center" vertical="center"/>
      <protection hidden="1"/>
    </xf>
    <xf numFmtId="0" fontId="1" fillId="6" borderId="7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0" fontId="0" fillId="0" borderId="20" xfId="0" applyFont="1" applyBorder="1" applyAlignment="1" applyProtection="1">
      <alignment horizontal="left" vertical="center"/>
      <protection hidden="1"/>
    </xf>
    <xf numFmtId="0" fontId="0" fillId="0" borderId="25" xfId="0" applyFont="1" applyBorder="1" applyAlignment="1" applyProtection="1">
      <alignment horizontal="left" vertical="center"/>
      <protection hidden="1"/>
    </xf>
    <xf numFmtId="0" fontId="0" fillId="0" borderId="23" xfId="0" applyFont="1" applyBorder="1" applyAlignment="1" applyProtection="1">
      <alignment horizontal="left" vertical="center"/>
      <protection hidden="1"/>
    </xf>
    <xf numFmtId="0" fontId="0" fillId="0" borderId="26" xfId="0" applyFont="1" applyBorder="1" applyAlignment="1" applyProtection="1">
      <alignment horizontal="left" vertical="center"/>
      <protection hidden="1"/>
    </xf>
    <xf numFmtId="0" fontId="0" fillId="0" borderId="22" xfId="0" applyFont="1" applyBorder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32" xfId="0" applyBorder="1" applyAlignment="1" applyProtection="1">
      <alignment horizontal="left" vertical="center"/>
      <protection hidden="1"/>
    </xf>
    <xf numFmtId="174" fontId="1" fillId="6" borderId="1" xfId="0" applyNumberFormat="1" applyFont="1" applyFill="1" applyBorder="1" applyAlignment="1" applyProtection="1">
      <alignment horizontal="center" vertical="center"/>
      <protection hidden="1"/>
    </xf>
    <xf numFmtId="174" fontId="1" fillId="6" borderId="11" xfId="0" applyNumberFormat="1" applyFont="1" applyFill="1" applyBorder="1" applyAlignment="1" applyProtection="1">
      <alignment horizontal="center" vertical="center"/>
      <protection hidden="1"/>
    </xf>
    <xf numFmtId="0" fontId="16" fillId="7" borderId="6" xfId="0" applyFont="1" applyFill="1" applyBorder="1" applyAlignment="1" applyProtection="1">
      <alignment horizontal="center" vertical="center" wrapText="1"/>
      <protection hidden="1"/>
    </xf>
    <xf numFmtId="0" fontId="16" fillId="7" borderId="7" xfId="0" applyFont="1" applyFill="1" applyBorder="1" applyAlignment="1" applyProtection="1">
      <alignment horizontal="center" vertical="center" wrapText="1"/>
      <protection hidden="1"/>
    </xf>
    <xf numFmtId="0" fontId="16" fillId="7" borderId="8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1" fillId="2" borderId="11" xfId="0" applyFont="1" applyFill="1" applyBorder="1" applyAlignment="1" applyProtection="1">
      <alignment horizontal="center" vertical="center"/>
      <protection locked="0" hidden="1"/>
    </xf>
    <xf numFmtId="0" fontId="1" fillId="2" borderId="26" xfId="0" applyFont="1" applyFill="1" applyBorder="1" applyAlignment="1" applyProtection="1">
      <alignment horizontal="center" vertical="center"/>
      <protection locked="0"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169" fontId="5" fillId="2" borderId="1" xfId="0" applyNumberFormat="1" applyFont="1" applyFill="1" applyBorder="1" applyAlignment="1" applyProtection="1">
      <alignment horizontal="center" vertical="center"/>
      <protection locked="0" hidden="1"/>
    </xf>
    <xf numFmtId="169" fontId="5" fillId="2" borderId="11" xfId="0" applyNumberFormat="1" applyFont="1" applyFill="1" applyBorder="1" applyAlignment="1" applyProtection="1">
      <alignment horizontal="center" vertical="center"/>
      <protection locked="0" hidden="1"/>
    </xf>
    <xf numFmtId="170" fontId="5" fillId="6" borderId="26" xfId="0" applyNumberFormat="1" applyFont="1" applyFill="1" applyBorder="1" applyAlignment="1" applyProtection="1">
      <alignment horizontal="center" vertical="center"/>
      <protection hidden="1"/>
    </xf>
    <xf numFmtId="170" fontId="5" fillId="6" borderId="16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0" fontId="1" fillId="2" borderId="31" xfId="0" applyFont="1" applyFill="1" applyBorder="1" applyAlignment="1" applyProtection="1">
      <alignment horizontal="center" vertical="center"/>
      <protection locked="0" hidden="1"/>
    </xf>
    <xf numFmtId="167" fontId="5" fillId="6" borderId="25" xfId="0" applyNumberFormat="1" applyFont="1" applyFill="1" applyBorder="1" applyAlignment="1" applyProtection="1">
      <alignment horizontal="center" vertical="center"/>
      <protection hidden="1"/>
    </xf>
    <xf numFmtId="167" fontId="5" fillId="6" borderId="21" xfId="0" applyNumberFormat="1" applyFont="1" applyFill="1" applyBorder="1" applyAlignment="1" applyProtection="1">
      <alignment horizontal="center" vertical="center"/>
      <protection hidden="1"/>
    </xf>
    <xf numFmtId="167" fontId="5" fillId="6" borderId="1" xfId="0" applyNumberFormat="1" applyFont="1" applyFill="1" applyBorder="1" applyAlignment="1" applyProtection="1">
      <alignment horizontal="center" vertical="center"/>
      <protection hidden="1"/>
    </xf>
    <xf numFmtId="167" fontId="5" fillId="6" borderId="11" xfId="0" applyNumberFormat="1" applyFont="1" applyFill="1" applyBorder="1" applyAlignment="1" applyProtection="1">
      <alignment horizontal="center" vertical="center"/>
      <protection hidden="1"/>
    </xf>
    <xf numFmtId="169" fontId="5" fillId="6" borderId="26" xfId="0" applyNumberFormat="1" applyFont="1" applyFill="1" applyBorder="1" applyAlignment="1" applyProtection="1">
      <alignment horizontal="center" vertical="center"/>
      <protection hidden="1"/>
    </xf>
    <xf numFmtId="169" fontId="5" fillId="6" borderId="16" xfId="0" applyNumberFormat="1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3" fillId="7" borderId="6" xfId="0" applyFont="1" applyFill="1" applyBorder="1" applyAlignment="1" applyProtection="1">
      <alignment horizontal="center" vertical="center"/>
      <protection hidden="1"/>
    </xf>
    <xf numFmtId="0" fontId="13" fillId="7" borderId="7" xfId="0" applyFont="1" applyFill="1" applyBorder="1" applyAlignment="1" applyProtection="1">
      <alignment horizontal="center" vertical="center"/>
      <protection hidden="1"/>
    </xf>
    <xf numFmtId="0" fontId="13" fillId="7" borderId="8" xfId="0" applyFont="1" applyFill="1" applyBorder="1" applyAlignment="1" applyProtection="1">
      <alignment horizontal="center" vertical="center"/>
      <protection hidden="1"/>
    </xf>
    <xf numFmtId="0" fontId="0" fillId="0" borderId="20" xfId="0" applyFont="1" applyFill="1" applyBorder="1" applyAlignment="1" applyProtection="1">
      <alignment horizontal="left" vertical="center"/>
      <protection hidden="1"/>
    </xf>
    <xf numFmtId="0" fontId="0" fillId="0" borderId="25" xfId="0" applyFont="1" applyFill="1" applyBorder="1" applyAlignment="1" applyProtection="1">
      <alignment horizontal="left" vertical="center"/>
      <protection hidden="1"/>
    </xf>
    <xf numFmtId="0" fontId="0" fillId="0" borderId="22" xfId="0" applyFont="1" applyFill="1" applyBorder="1" applyAlignment="1" applyProtection="1">
      <alignment horizontal="left" vertical="center"/>
      <protection hidden="1"/>
    </xf>
    <xf numFmtId="0" fontId="0" fillId="0" borderId="1" xfId="0" applyFont="1" applyFill="1" applyBorder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/>
      <protection locked="0" hidden="1"/>
    </xf>
    <xf numFmtId="0" fontId="1" fillId="2" borderId="21" xfId="0" applyFont="1" applyFill="1" applyBorder="1" applyAlignment="1" applyProtection="1">
      <alignment horizontal="center" vertical="center"/>
      <protection locked="0"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169" fontId="5" fillId="6" borderId="1" xfId="0" applyNumberFormat="1" applyFont="1" applyFill="1" applyBorder="1" applyAlignment="1" applyProtection="1">
      <alignment horizontal="center" vertical="center"/>
      <protection hidden="1"/>
    </xf>
    <xf numFmtId="169" fontId="5" fillId="6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25" xfId="0" applyBorder="1" applyAlignment="1" applyProtection="1">
      <alignment horizontal="left" vertical="center"/>
      <protection hidden="1"/>
    </xf>
    <xf numFmtId="0" fontId="0" fillId="0" borderId="23" xfId="0" applyBorder="1" applyAlignment="1" applyProtection="1">
      <alignment horizontal="left" vertical="center"/>
      <protection hidden="1"/>
    </xf>
    <xf numFmtId="0" fontId="0" fillId="0" borderId="26" xfId="0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  <protection hidden="1"/>
    </xf>
    <xf numFmtId="0" fontId="20" fillId="0" borderId="24" xfId="0" applyFont="1" applyBorder="1" applyAlignment="1" applyProtection="1">
      <alignment horizontal="center" vertical="center" wrapText="1"/>
      <protection hidden="1"/>
    </xf>
    <xf numFmtId="0" fontId="20" fillId="0" borderId="17" xfId="0" applyFont="1" applyBorder="1" applyAlignment="1" applyProtection="1">
      <alignment horizontal="center" vertical="center" wrapText="1"/>
      <protection hidden="1"/>
    </xf>
  </cellXfs>
  <cellStyles count="2">
    <cellStyle name="Normální" xfId="0" builtinId="0"/>
    <cellStyle name="Normální 3" xfId="1" xr:uid="{7A8FA160-3627-4D49-B1A2-699F86CF8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ROZLOŽENÍ ROČNÍ SPOTŘEBY TEPLA</a:t>
            </a:r>
            <a:r>
              <a:rPr lang="cs-CZ" b="1" baseline="0"/>
              <a:t>:</a:t>
            </a:r>
          </a:p>
          <a:p>
            <a:pPr>
              <a:defRPr/>
            </a:pPr>
            <a:r>
              <a:rPr lang="cs-CZ" b="1" baseline="0"/>
              <a:t>TEPELNÉ ČERPADLO / BIVALENCE</a:t>
            </a:r>
            <a:endParaRPr lang="cs-CZ" b="1"/>
          </a:p>
        </c:rich>
      </c:tx>
      <c:layout>
        <c:manualLayout>
          <c:xMode val="edge"/>
          <c:yMode val="edge"/>
          <c:x val="0.20457569700246181"/>
          <c:y val="1.56160771461935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261232805787088"/>
          <c:y val="0.25599182581835989"/>
          <c:w val="0.75317984878962396"/>
          <c:h val="0.60797660752627414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9A-41B6-AD39-2C5D6B94F1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9A-41B6-AD39-2C5D6B94F118}"/>
              </c:ext>
            </c:extLst>
          </c:dPt>
          <c:dLbls>
            <c:dLbl>
              <c:idx val="0"/>
              <c:layout>
                <c:manualLayout>
                  <c:x val="-3.7599173573740596E-2"/>
                  <c:y val="-0.177351151065326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TČ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defRPr>
                    </a:pPr>
                    <a:fld id="{B47F3B66-C51A-4724-AB7A-B71F0A7E5188}" type="CELLREF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65000"/>
                              <a:lumOff val="35000"/>
                            </a:sysClr>
                          </a:solidFill>
                        </a:defRPr>
                      </a:pPr>
                      <a:t>[ODKAZ NA BUŇKU]</a:t>
                    </a:fld>
                    <a:r>
                      <a:rPr lang="en-US"/>
                      <a:t> MWh; </a:t>
                    </a:r>
                    <a:fld id="{43313B26-B889-4531-8B06-17285AF5CF25}" type="CELLREF"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65000"/>
                              <a:lumOff val="35000"/>
                            </a:sysClr>
                          </a:solidFill>
                        </a:defRPr>
                      </a:pPr>
                      <a:t>[ODKAZ NA BUŇKU]</a:t>
                    </a:fld>
                    <a:endParaRPr lang="en-US" sz="9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defRPr>
                    </a:pPr>
                    <a:r>
                      <a:rPr lang="en-US"/>
                      <a:t> 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267802899717247"/>
                      <c:h val="0.12843591747635871"/>
                    </c:manualLayout>
                  </c15:layout>
                  <c15:dlblFieldTable>
                    <c15:dlblFTEntry>
                      <c15:txfldGUID>{B47F3B66-C51A-4724-AB7A-B71F0A7E5188}</c15:txfldGUID>
                      <c15:f>Výpočet!$U$31</c15:f>
                      <c15:dlblFieldTableCache>
                        <c:ptCount val="1"/>
                        <c:pt idx="0">
                          <c:v>536,55</c:v>
                        </c:pt>
                      </c15:dlblFieldTableCache>
                    </c15:dlblFTEntry>
                    <c15:dlblFTEntry>
                      <c15:txfldGUID>{43313B26-B889-4531-8B06-17285AF5CF25}</c15:txfldGUID>
                      <c15:f>Výpočet!$W$31</c15:f>
                      <c15:dlblFieldTableCache>
                        <c:ptCount val="1"/>
                        <c:pt idx="0">
                          <c:v>98,5%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09A-41B6-AD39-2C5D6B94F118}"/>
                </c:ext>
              </c:extLst>
            </c:dLbl>
            <c:dLbl>
              <c:idx val="1"/>
              <c:layout>
                <c:manualLayout>
                  <c:x val="-3.6226491028454211E-2"/>
                  <c:y val="2.774424533835030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BIVALENCE</a:t>
                    </a:r>
                  </a:p>
                  <a:p>
                    <a:fld id="{4A2A74DC-99AA-4FD3-9303-2EF0F47ED5CB}" type="CELLREF">
                      <a:rPr lang="en-US"/>
                      <a:pPr/>
                      <a:t>[ODKAZ NA BUŇKU]</a:t>
                    </a:fld>
                    <a:r>
                      <a:rPr lang="en-US"/>
                      <a:t> MWh; </a:t>
                    </a:r>
                    <a:fld id="{BF3109B1-39FA-4904-A2A2-D2520DF22484}" type="CELLREF">
                      <a:rPr lang="en-US" sz="8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pPr/>
                      <a:t>[ODKAZ NA BUŇKU]</a:t>
                    </a:fld>
                    <a:r>
                      <a:rPr lang="en-US"/>
                      <a:t> 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21725072410498"/>
                      <c:h val="0.11436042050048476"/>
                    </c:manualLayout>
                  </c15:layout>
                  <c15:dlblFieldTable>
                    <c15:dlblFTEntry>
                      <c15:txfldGUID>{4A2A74DC-99AA-4FD3-9303-2EF0F47ED5CB}</c15:txfldGUID>
                      <c15:f>Výpočet!$U$33</c15:f>
                      <c15:dlblFieldTableCache>
                        <c:ptCount val="1"/>
                        <c:pt idx="0">
                          <c:v>8,01</c:v>
                        </c:pt>
                      </c15:dlblFieldTableCache>
                    </c15:dlblFTEntry>
                    <c15:dlblFTEntry>
                      <c15:txfldGUID>{BF3109B1-39FA-4904-A2A2-D2520DF22484}</c15:txfldGUID>
                      <c15:f>Výpočet!$W$33</c15:f>
                      <c15:dlblFieldTableCache>
                        <c:ptCount val="1"/>
                        <c:pt idx="0">
                          <c:v>1,5%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09A-41B6-AD39-2C5D6B94F11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(Výpočet!$U$31,Výpočet!$U$33)</c:f>
              <c:numCache>
                <c:formatCode>0.00</c:formatCode>
                <c:ptCount val="2"/>
                <c:pt idx="0">
                  <c:v>536.54597029660181</c:v>
                </c:pt>
                <c:pt idx="1">
                  <c:v>8.0142867671101516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A-41B6-AD39-2C5D6B94F11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400"/>
              <a:t>Potřeba energie v závislosti na venkovní teplotě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Teplo TČ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Pomery_vykonu!$AR$6:$AR$41</c:f>
              <c:numCache>
                <c:formatCode>0.00</c:formatCode>
                <c:ptCount val="36"/>
                <c:pt idx="0">
                  <c:v>2.3645064537698084</c:v>
                </c:pt>
                <c:pt idx="1">
                  <c:v>2.4296230470914124</c:v>
                </c:pt>
                <c:pt idx="2">
                  <c:v>2.4943973491523415</c:v>
                </c:pt>
                <c:pt idx="3">
                  <c:v>3.8381890288334262</c:v>
                </c:pt>
                <c:pt idx="4">
                  <c:v>5.2455339000859658</c:v>
                </c:pt>
                <c:pt idx="5">
                  <c:v>8.0588146689493492</c:v>
                </c:pt>
                <c:pt idx="6">
                  <c:v>10.916457197440058</c:v>
                </c:pt>
                <c:pt idx="7">
                  <c:v>15.242893542840763</c:v>
                </c:pt>
                <c:pt idx="8">
                  <c:v>18.797385041551244</c:v>
                </c:pt>
                <c:pt idx="9">
                  <c:v>20.506238227146813</c:v>
                </c:pt>
                <c:pt idx="10">
                  <c:v>24.412188365650962</c:v>
                </c:pt>
                <c:pt idx="11">
                  <c:v>26.67031578947368</c:v>
                </c:pt>
                <c:pt idx="12">
                  <c:v>27.46371191135734</c:v>
                </c:pt>
                <c:pt idx="13">
                  <c:v>28.012986149584481</c:v>
                </c:pt>
                <c:pt idx="14">
                  <c:v>28.318138504155115</c:v>
                </c:pt>
                <c:pt idx="15">
                  <c:v>26.548254847645424</c:v>
                </c:pt>
                <c:pt idx="16">
                  <c:v>25.632797783933515</c:v>
                </c:pt>
                <c:pt idx="17">
                  <c:v>23.801883656509695</c:v>
                </c:pt>
                <c:pt idx="18">
                  <c:v>21.23860387811634</c:v>
                </c:pt>
                <c:pt idx="19">
                  <c:v>19.468720221606649</c:v>
                </c:pt>
                <c:pt idx="20">
                  <c:v>16.478227146814405</c:v>
                </c:pt>
                <c:pt idx="21">
                  <c:v>13.73185595567867</c:v>
                </c:pt>
                <c:pt idx="22">
                  <c:v>11.229606648199443</c:v>
                </c:pt>
                <c:pt idx="23">
                  <c:v>9.3986925207756222</c:v>
                </c:pt>
                <c:pt idx="24">
                  <c:v>6.9574736842105267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6-4451-85A2-2CF323F887E7}"/>
            </c:ext>
          </c:extLst>
        </c:ser>
        <c:ser>
          <c:idx val="2"/>
          <c:order val="1"/>
          <c:tx>
            <c:v>Bivalence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Pomery_vykonu!$AS$6:$AS$41</c:f>
              <c:numCache>
                <c:formatCode>0.00</c:formatCode>
                <c:ptCount val="36"/>
                <c:pt idx="0">
                  <c:v>1.2973218010778362</c:v>
                </c:pt>
                <c:pt idx="1">
                  <c:v>1.1101442659279779</c:v>
                </c:pt>
                <c:pt idx="2">
                  <c:v>0.92330902203879428</c:v>
                </c:pt>
                <c:pt idx="3">
                  <c:v>1.1052791152108949</c:v>
                </c:pt>
                <c:pt idx="4">
                  <c:v>1.1016350749832848</c:v>
                </c:pt>
                <c:pt idx="5">
                  <c:v>1.095755968169762</c:v>
                </c:pt>
                <c:pt idx="6">
                  <c:v>0.80139321807240649</c:v>
                </c:pt>
                <c:pt idx="7">
                  <c:v>0.19781559843347254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6-4451-85A2-2CF323F88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143936"/>
        <c:axId val="751144264"/>
      </c:barChart>
      <c:catAx>
        <c:axId val="7511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1144264"/>
        <c:crosses val="autoZero"/>
        <c:auto val="1"/>
        <c:lblAlgn val="ctr"/>
        <c:lblOffset val="100"/>
        <c:noMultiLvlLbl val="0"/>
      </c:catAx>
      <c:valAx>
        <c:axId val="75114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Energie [kWh]</a:t>
                </a:r>
              </a:p>
            </c:rich>
          </c:tx>
          <c:layout>
            <c:manualLayout>
              <c:xMode val="edge"/>
              <c:yMode val="edge"/>
              <c:x val="6.624110091666556E-2"/>
              <c:y val="0.35515802275464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114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 m</a:t>
            </a:r>
            <a:r>
              <a:rPr lang="en-US"/>
              <a:t>nožství </a:t>
            </a:r>
            <a:r>
              <a:rPr lang="cs-CZ"/>
              <a:t>tepla dodané zdroji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E2-4C5F-A670-8531A40816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4E2-4C5F-A670-8531A408160A}"/>
              </c:ext>
            </c:extLst>
          </c:dPt>
          <c:dLbls>
            <c:dLbl>
              <c:idx val="0"/>
              <c:layout>
                <c:manualLayout>
                  <c:x val="-0.10206401492119438"/>
                  <c:y val="-0.2332339434253745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Tepelné čerpadlo</a:t>
                    </a:r>
                    <a:r>
                      <a:rPr lang="en-US" baseline="0"/>
                      <a:t>;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 </a:t>
                    </a:r>
                    <a:fld id="{8CCC7CD5-A016-4F80-AE51-05A604585E6B}" type="VALUE">
                      <a:rPr lang="en-US" baseline="0"/>
                      <a:pPr>
                        <a:defRPr/>
                      </a:pPr>
                      <a:t>[HODNOTA]</a:t>
                    </a:fld>
                    <a:r>
                      <a:rPr lang="en-US" baseline="0"/>
                      <a:t> MWh; </a:t>
                    </a:r>
                    <a:fld id="{A426A73B-903C-445E-A20B-16A6E3BF6044}" type="PERCENTAGE">
                      <a:rPr lang="en-US" baseline="0"/>
                      <a:pPr>
                        <a:defRPr/>
                      </a:pPr>
                      <a:t>[PROCENTO]</a:t>
                    </a:fld>
                    <a:endParaRPr lang="en-US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22207386010479763"/>
                      <c:h val="0.113309557377422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4E2-4C5F-A670-8531A408160A}"/>
                </c:ext>
              </c:extLst>
            </c:dLbl>
            <c:dLbl>
              <c:idx val="1"/>
              <c:layout>
                <c:manualLayout>
                  <c:x val="4.7354133259004533E-2"/>
                  <c:y val="0.2496847461550470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Bivalence</a:t>
                    </a:r>
                  </a:p>
                  <a:p>
                    <a:r>
                      <a:rPr lang="en-US" baseline="0"/>
                      <a:t> </a:t>
                    </a:r>
                    <a:fld id="{A6DF1BB9-AD09-4434-8489-3CA992D0B464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MWh; </a:t>
                    </a:r>
                    <a:fld id="{FD62ABE6-D325-447A-BE84-78B7BCB4E229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4E2-4C5F-A670-8531A408160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val>
            <c:numRef>
              <c:f>Pomery_vykonu!$AR$46:$AS$46</c:f>
              <c:numCache>
                <c:formatCode>0.00</c:formatCode>
                <c:ptCount val="2"/>
                <c:pt idx="0">
                  <c:v>419.22037029660174</c:v>
                </c:pt>
                <c:pt idx="1">
                  <c:v>8.0142867671101516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C5F-A670-8531A40816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528902509566834E-2"/>
          <c:y val="4.4557888698476919E-2"/>
          <c:w val="0.94736862240603792"/>
          <c:h val="0.94061640343268649"/>
        </c:manualLayout>
      </c:layout>
      <c:areaChart>
        <c:grouping val="standard"/>
        <c:varyColors val="0"/>
        <c:ser>
          <c:idx val="0"/>
          <c:order val="0"/>
          <c:tx>
            <c:v>Dodané teplo TČ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Pomery_vykonu!$AR$6:$AR$41</c:f>
              <c:numCache>
                <c:formatCode>0.00</c:formatCode>
                <c:ptCount val="36"/>
                <c:pt idx="0">
                  <c:v>2.3645064537698084</c:v>
                </c:pt>
                <c:pt idx="1">
                  <c:v>2.4296230470914124</c:v>
                </c:pt>
                <c:pt idx="2">
                  <c:v>2.4943973491523415</c:v>
                </c:pt>
                <c:pt idx="3">
                  <c:v>3.8381890288334262</c:v>
                </c:pt>
                <c:pt idx="4">
                  <c:v>5.2455339000859658</c:v>
                </c:pt>
                <c:pt idx="5">
                  <c:v>8.0588146689493492</c:v>
                </c:pt>
                <c:pt idx="6">
                  <c:v>10.916457197440058</c:v>
                </c:pt>
                <c:pt idx="7">
                  <c:v>15.242893542840763</c:v>
                </c:pt>
                <c:pt idx="8">
                  <c:v>18.797385041551244</c:v>
                </c:pt>
                <c:pt idx="9">
                  <c:v>20.506238227146813</c:v>
                </c:pt>
                <c:pt idx="10">
                  <c:v>24.412188365650962</c:v>
                </c:pt>
                <c:pt idx="11">
                  <c:v>26.67031578947368</c:v>
                </c:pt>
                <c:pt idx="12">
                  <c:v>27.46371191135734</c:v>
                </c:pt>
                <c:pt idx="13">
                  <c:v>28.012986149584481</c:v>
                </c:pt>
                <c:pt idx="14">
                  <c:v>28.318138504155115</c:v>
                </c:pt>
                <c:pt idx="15">
                  <c:v>26.548254847645424</c:v>
                </c:pt>
                <c:pt idx="16">
                  <c:v>25.632797783933515</c:v>
                </c:pt>
                <c:pt idx="17">
                  <c:v>23.801883656509695</c:v>
                </c:pt>
                <c:pt idx="18">
                  <c:v>21.23860387811634</c:v>
                </c:pt>
                <c:pt idx="19">
                  <c:v>19.468720221606649</c:v>
                </c:pt>
                <c:pt idx="20">
                  <c:v>16.478227146814405</c:v>
                </c:pt>
                <c:pt idx="21">
                  <c:v>13.73185595567867</c:v>
                </c:pt>
                <c:pt idx="22">
                  <c:v>11.229606648199443</c:v>
                </c:pt>
                <c:pt idx="23">
                  <c:v>9.3986925207756222</c:v>
                </c:pt>
                <c:pt idx="24">
                  <c:v>6.9574736842105267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6-4705-B616-92A0CC4CE462}"/>
            </c:ext>
          </c:extLst>
        </c:ser>
        <c:ser>
          <c:idx val="1"/>
          <c:order val="1"/>
          <c:tx>
            <c:v>Dodané teplo biv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Pomery_vykonu!$AS$6:$AS$41</c:f>
              <c:numCache>
                <c:formatCode>0.00</c:formatCode>
                <c:ptCount val="36"/>
                <c:pt idx="0">
                  <c:v>1.2973218010778362</c:v>
                </c:pt>
                <c:pt idx="1">
                  <c:v>1.1101442659279779</c:v>
                </c:pt>
                <c:pt idx="2">
                  <c:v>0.92330902203879428</c:v>
                </c:pt>
                <c:pt idx="3">
                  <c:v>1.1052791152108949</c:v>
                </c:pt>
                <c:pt idx="4">
                  <c:v>1.1016350749832848</c:v>
                </c:pt>
                <c:pt idx="5">
                  <c:v>1.095755968169762</c:v>
                </c:pt>
                <c:pt idx="6">
                  <c:v>0.80139321807240649</c:v>
                </c:pt>
                <c:pt idx="7">
                  <c:v>0.19781559843347254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6-4705-B616-92A0CC4C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303520"/>
        <c:axId val="1125306800"/>
      </c:areaChart>
      <c:catAx>
        <c:axId val="112530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5306800"/>
        <c:crosses val="autoZero"/>
        <c:auto val="1"/>
        <c:lblAlgn val="ctr"/>
        <c:lblOffset val="100"/>
        <c:noMultiLvlLbl val="0"/>
      </c:catAx>
      <c:valAx>
        <c:axId val="112530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530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dodané el energie od TČ a bivalence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221059524820711"/>
          <c:y val="7.8750084500529213E-2"/>
          <c:w val="0.67894984096840272"/>
          <c:h val="0.89014392358735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06-4331-B101-AFA41FA005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006-4331-B101-AFA41FA00542}"/>
              </c:ext>
            </c:extLst>
          </c:dPt>
          <c:dLbls>
            <c:dLbl>
              <c:idx val="0"/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Tepelné čerpadlo</a:t>
                    </a:r>
                  </a:p>
                  <a:p>
                    <a:pPr>
                      <a:defRPr/>
                    </a:pPr>
                    <a:fld id="{CE7C0493-561A-4643-A85F-7C4BD2B9BACF}" type="VALUE">
                      <a:rPr lang="en-US"/>
                      <a:pPr>
                        <a:defRPr/>
                      </a:pPr>
                      <a:t>[HODNOTA]</a:t>
                    </a:fld>
                    <a:r>
                      <a:rPr lang="en-US"/>
                      <a:t> MWh</a:t>
                    </a:r>
                    <a:r>
                      <a:rPr lang="en-US" baseline="0"/>
                      <a:t>; </a:t>
                    </a:r>
                    <a:fld id="{3CD7D152-0114-4BF4-9446-5DE7308DF5E3}" type="PERCENTAGE">
                      <a:rPr lang="en-US" baseline="0"/>
                      <a:pPr>
                        <a:defRPr/>
                      </a:pPr>
                      <a:t>[PROCENTO]</a:t>
                    </a:fld>
                    <a:endParaRPr lang="en-US" baseline="0"/>
                  </a:p>
                </c:rich>
              </c:tx>
              <c:spPr>
                <a:xfrm>
                  <a:off x="3237523" y="4056961"/>
                  <a:ext cx="1502536" cy="510603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>
                        <a:gd name="adj" fmla="val 18679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19853136652282027"/>
                      <c:h val="8.554263695761432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006-4331-B101-AFA41FA00542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Bivalence </a:t>
                    </a:r>
                  </a:p>
                  <a:p>
                    <a:pPr>
                      <a:defRPr/>
                    </a:pPr>
                    <a:fld id="{2F3F0295-6935-4817-92C5-E558A65A537D}" type="VALUE">
                      <a:rPr lang="en-US"/>
                      <a:pPr>
                        <a:defRPr/>
                      </a:pPr>
                      <a:t>[HODNOTA]</a:t>
                    </a:fld>
                    <a:r>
                      <a:rPr lang="en-US"/>
                      <a:t> MWh</a:t>
                    </a:r>
                    <a:r>
                      <a:rPr lang="en-US" baseline="0"/>
                      <a:t>; </a:t>
                    </a:r>
                    <a:fld id="{C2EAA890-F512-4121-9C7D-73A67E1296FD}" type="PERCENTAGE">
                      <a:rPr lang="en-US" baseline="0"/>
                      <a:pPr>
                        <a:defRPr/>
                      </a:pPr>
                      <a:t>[PROCENTO]</a:t>
                    </a:fld>
                    <a:endParaRPr lang="en-US" baseline="0"/>
                  </a:p>
                </c:rich>
              </c:tx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>
                        <a:gd name="adj" fmla="val 23956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006-4331-B101-AFA41FA0054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Pomery_vykonu!$AT$55:$AT$56</c:f>
              <c:numCache>
                <c:formatCode>0.00</c:formatCode>
                <c:ptCount val="2"/>
                <c:pt idx="0">
                  <c:v>124.01452986910923</c:v>
                </c:pt>
                <c:pt idx="1">
                  <c:v>8.0142867671101516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6-4331-B101-AFA41FA005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8.0612571783398854E-2"/>
                  <c:y val="-4.25400923603245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0.41371893848125657"/>
                  <c:y val="4.49761948361106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Heliotherm!$V$11:$V$16</c:f>
              <c:numCache>
                <c:formatCode>General</c:formatCode>
                <c:ptCount val="6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2</c:v>
                </c:pt>
                <c:pt idx="4">
                  <c:v>7</c:v>
                </c:pt>
                <c:pt idx="5">
                  <c:v>12</c:v>
                </c:pt>
              </c:numCache>
            </c:numRef>
          </c:xVal>
          <c:yVal>
            <c:numRef>
              <c:f>Heliotherm!$W$11:$W$16</c:f>
              <c:numCache>
                <c:formatCode>0.00</c:formatCode>
                <c:ptCount val="6"/>
                <c:pt idx="0" formatCode="General">
                  <c:v>23.75</c:v>
                </c:pt>
                <c:pt idx="1">
                  <c:v>30.96</c:v>
                </c:pt>
                <c:pt idx="2">
                  <c:v>35.4</c:v>
                </c:pt>
                <c:pt idx="3">
                  <c:v>41</c:v>
                </c:pt>
                <c:pt idx="4">
                  <c:v>47.38</c:v>
                </c:pt>
                <c:pt idx="5">
                  <c:v>53.28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89-4320-A107-8A9573AD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044776"/>
        <c:axId val="554045104"/>
      </c:scatterChart>
      <c:valAx>
        <c:axId val="55404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045104"/>
        <c:crosses val="autoZero"/>
        <c:crossBetween val="midCat"/>
      </c:valAx>
      <c:valAx>
        <c:axId val="55404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044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VÝKON TČ A BIVALENCE V ZÁVISLOSTI NA VENKOVNÍ TEPLOTĚ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1"/>
          <c:tx>
            <c:v>výkon TČ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Pomery_vykonu!$AL$6:$AL$41</c:f>
              <c:numCache>
                <c:formatCode>0.0</c:formatCode>
                <c:ptCount val="36"/>
                <c:pt idx="0">
                  <c:v>120.10344827586206</c:v>
                </c:pt>
                <c:pt idx="1">
                  <c:v>123.54827586206896</c:v>
                </c:pt>
                <c:pt idx="2">
                  <c:v>126.99310344827586</c:v>
                </c:pt>
                <c:pt idx="3">
                  <c:v>130.43793103448274</c:v>
                </c:pt>
                <c:pt idx="4">
                  <c:v>133.88275862068963</c:v>
                </c:pt>
                <c:pt idx="5">
                  <c:v>137.32758620689651</c:v>
                </c:pt>
                <c:pt idx="6">
                  <c:v>139.7413793103448</c:v>
                </c:pt>
                <c:pt idx="7">
                  <c:v>142.15517241379308</c:v>
                </c:pt>
                <c:pt idx="8">
                  <c:v>138</c:v>
                </c:pt>
                <c:pt idx="9">
                  <c:v>132</c:v>
                </c:pt>
                <c:pt idx="10">
                  <c:v>125.99999999999999</c:v>
                </c:pt>
                <c:pt idx="11">
                  <c:v>120</c:v>
                </c:pt>
                <c:pt idx="12">
                  <c:v>114</c:v>
                </c:pt>
                <c:pt idx="13">
                  <c:v>107.99999999999999</c:v>
                </c:pt>
                <c:pt idx="14">
                  <c:v>101.99999999999999</c:v>
                </c:pt>
                <c:pt idx="15">
                  <c:v>96</c:v>
                </c:pt>
                <c:pt idx="16">
                  <c:v>90</c:v>
                </c:pt>
                <c:pt idx="17">
                  <c:v>84</c:v>
                </c:pt>
                <c:pt idx="18">
                  <c:v>77.999999999999986</c:v>
                </c:pt>
                <c:pt idx="19">
                  <c:v>72</c:v>
                </c:pt>
                <c:pt idx="20">
                  <c:v>66</c:v>
                </c:pt>
                <c:pt idx="21">
                  <c:v>60</c:v>
                </c:pt>
                <c:pt idx="22">
                  <c:v>53.999999999999993</c:v>
                </c:pt>
                <c:pt idx="23">
                  <c:v>48</c:v>
                </c:pt>
                <c:pt idx="24">
                  <c:v>42</c:v>
                </c:pt>
                <c:pt idx="25">
                  <c:v>13.393333333333333</c:v>
                </c:pt>
                <c:pt idx="26">
                  <c:v>13.393333333333333</c:v>
                </c:pt>
                <c:pt idx="27">
                  <c:v>13.393333333333333</c:v>
                </c:pt>
                <c:pt idx="28">
                  <c:v>13.393333333333333</c:v>
                </c:pt>
                <c:pt idx="29">
                  <c:v>13.393333333333333</c:v>
                </c:pt>
                <c:pt idx="30">
                  <c:v>13.393333333333333</c:v>
                </c:pt>
                <c:pt idx="31">
                  <c:v>13.393333333333333</c:v>
                </c:pt>
                <c:pt idx="32">
                  <c:v>13.393333333333333</c:v>
                </c:pt>
                <c:pt idx="33">
                  <c:v>13.393333333333333</c:v>
                </c:pt>
                <c:pt idx="34">
                  <c:v>13.393333333333333</c:v>
                </c:pt>
                <c:pt idx="35">
                  <c:v>13.393333333333333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B-4FFB-A504-7C7379713DF1}"/>
            </c:ext>
          </c:extLst>
        </c:ser>
        <c:ser>
          <c:idx val="2"/>
          <c:order val="2"/>
          <c:tx>
            <c:v>Výkon bivalence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Pomery_vykonu!$AK$6:$AK$41</c:f>
              <c:numCache>
                <c:formatCode>0.0</c:formatCode>
                <c:ptCount val="36"/>
                <c:pt idx="0">
                  <c:v>65.896551724137936</c:v>
                </c:pt>
                <c:pt idx="1">
                  <c:v>56.451724137931038</c:v>
                </c:pt>
                <c:pt idx="2">
                  <c:v>47.006896551724139</c:v>
                </c:pt>
                <c:pt idx="3">
                  <c:v>37.562068965517255</c:v>
                </c:pt>
                <c:pt idx="4">
                  <c:v>28.117241379310371</c:v>
                </c:pt>
                <c:pt idx="5">
                  <c:v>18.672413793103459</c:v>
                </c:pt>
                <c:pt idx="6">
                  <c:v>10.258620689655203</c:v>
                </c:pt>
                <c:pt idx="7">
                  <c:v>1.8448275862069181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B-4FFB-A504-7C737971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143936"/>
        <c:axId val="751144264"/>
      </c:barChart>
      <c:lineChart>
        <c:grouping val="standard"/>
        <c:varyColors val="0"/>
        <c:ser>
          <c:idx val="0"/>
          <c:order val="0"/>
          <c:tx>
            <c:v>Ztráta objektu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Pomery_vykonu!$Y$6:$Y$41</c:f>
              <c:numCache>
                <c:formatCode>0.0</c:formatCode>
                <c:ptCount val="36"/>
                <c:pt idx="0">
                  <c:v>186</c:v>
                </c:pt>
                <c:pt idx="1">
                  <c:v>180</c:v>
                </c:pt>
                <c:pt idx="2">
                  <c:v>174</c:v>
                </c:pt>
                <c:pt idx="3">
                  <c:v>168</c:v>
                </c:pt>
                <c:pt idx="4">
                  <c:v>162</c:v>
                </c:pt>
                <c:pt idx="5">
                  <c:v>155.99999999999997</c:v>
                </c:pt>
                <c:pt idx="6">
                  <c:v>150</c:v>
                </c:pt>
                <c:pt idx="7">
                  <c:v>144</c:v>
                </c:pt>
                <c:pt idx="8">
                  <c:v>138</c:v>
                </c:pt>
                <c:pt idx="9">
                  <c:v>132</c:v>
                </c:pt>
                <c:pt idx="10">
                  <c:v>125.99999999999999</c:v>
                </c:pt>
                <c:pt idx="11">
                  <c:v>120</c:v>
                </c:pt>
                <c:pt idx="12">
                  <c:v>114</c:v>
                </c:pt>
                <c:pt idx="13">
                  <c:v>107.99999999999999</c:v>
                </c:pt>
                <c:pt idx="14">
                  <c:v>101.99999999999999</c:v>
                </c:pt>
                <c:pt idx="15">
                  <c:v>96</c:v>
                </c:pt>
                <c:pt idx="16">
                  <c:v>90</c:v>
                </c:pt>
                <c:pt idx="17">
                  <c:v>84</c:v>
                </c:pt>
                <c:pt idx="18">
                  <c:v>77.999999999999986</c:v>
                </c:pt>
                <c:pt idx="19">
                  <c:v>72</c:v>
                </c:pt>
                <c:pt idx="20">
                  <c:v>66</c:v>
                </c:pt>
                <c:pt idx="21">
                  <c:v>60</c:v>
                </c:pt>
                <c:pt idx="22">
                  <c:v>53.999999999999993</c:v>
                </c:pt>
                <c:pt idx="23">
                  <c:v>48</c:v>
                </c:pt>
                <c:pt idx="24">
                  <c:v>42</c:v>
                </c:pt>
                <c:pt idx="25">
                  <c:v>36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CB-4FFB-A504-7C737971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143936"/>
        <c:axId val="751144264"/>
      </c:lineChart>
      <c:catAx>
        <c:axId val="7511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1144264"/>
        <c:crosses val="autoZero"/>
        <c:auto val="1"/>
        <c:lblAlgn val="ctr"/>
        <c:lblOffset val="100"/>
        <c:noMultiLvlLbl val="0"/>
      </c:catAx>
      <c:valAx>
        <c:axId val="75114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Výkon [kW]</a:t>
                </a:r>
              </a:p>
            </c:rich>
          </c:tx>
          <c:layout>
            <c:manualLayout>
              <c:xMode val="edge"/>
              <c:yMode val="edge"/>
              <c:x val="6.624110091666556E-2"/>
              <c:y val="0.35515802275464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114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POMĚR DODANÉ</a:t>
            </a:r>
            <a:r>
              <a:rPr lang="cs-CZ" b="1" baseline="0"/>
              <a:t> ELEKTRICKÉ ENERGIDE DO TČ A BIVALENCE - ERIENTAČNÍ</a:t>
            </a:r>
            <a:endParaRPr lang="cs-CZ" b="1"/>
          </a:p>
        </c:rich>
      </c:tx>
      <c:layout>
        <c:manualLayout>
          <c:xMode val="edge"/>
          <c:yMode val="edge"/>
          <c:x val="8.2579321080379076E-2"/>
          <c:y val="1.5616098024023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261232805787088"/>
          <c:y val="0.25599182581835989"/>
          <c:w val="0.75317984878962396"/>
          <c:h val="0.60797660752627414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9A-41B6-AD39-2C5D6B94F1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9A-41B6-AD39-2C5D6B94F118}"/>
              </c:ext>
            </c:extLst>
          </c:dPt>
          <c:dLbls>
            <c:dLbl>
              <c:idx val="0"/>
              <c:layout>
                <c:manualLayout>
                  <c:x val="-0.14492894258052236"/>
                  <c:y val="-0.19732882116121966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t>TČ</a:t>
                    </a:r>
                  </a:p>
                  <a:p>
                    <a:fld id="{1481E0EF-C0F1-4085-B4DC-3F49355CA432}" type="CELLREF"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pPr/>
                      <a:t>[ODKAZ NA BUŇKU]</a:t>
                    </a:fld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t> MWh; </a:t>
                    </a:r>
                    <a:fld id="{9337B835-35B9-4886-ABCD-C4681BB79E25}" type="CELLREF"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pPr/>
                      <a:t>[ODKAZ NA BUŇKU]</a:t>
                    </a:fld>
                    <a:endParaRPr lang="en-US" sz="9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</a:endParaRPr>
                  </a:p>
                  <a:p>
                    <a:endParaRPr lang="cs-CZ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14056988172834"/>
                      <c:h val="0.13959629986299488"/>
                    </c:manualLayout>
                  </c15:layout>
                  <c15:dlblFieldTable>
                    <c15:dlblFTEntry>
                      <c15:txfldGUID>{1481E0EF-C0F1-4085-B4DC-3F49355CA432}</c15:txfldGUID>
                      <c15:f>Výpočet!$U$35</c15:f>
                      <c15:dlblFieldTableCache>
                        <c:ptCount val="1"/>
                        <c:pt idx="0">
                          <c:v>162,50</c:v>
                        </c:pt>
                      </c15:dlblFieldTableCache>
                    </c15:dlblFTEntry>
                    <c15:dlblFTEntry>
                      <c15:txfldGUID>{9337B835-35B9-4886-ABCD-C4681BB79E25}</c15:txfldGUID>
                      <c15:f>Výpočet!$W$35</c15:f>
                      <c15:dlblFieldTableCache>
                        <c:ptCount val="1"/>
                        <c:pt idx="0">
                          <c:v>95,3%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09A-41B6-AD39-2C5D6B94F1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900" b="1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t>BIVALENCE </a:t>
                    </a:r>
                  </a:p>
                  <a:p>
                    <a:fld id="{63149962-7634-4F8A-BB0E-55AA2C4CDF9D}" type="CELLREF"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pPr/>
                      <a:t>[ODKAZ NA BUŇKU]</a:t>
                    </a:fld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t> MWh; </a:t>
                    </a:r>
                    <a:fld id="{0B837FDD-E931-4C28-8849-7AEF0215E359}" type="CELLREF">
                      <a:rPr lang="en-US"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rPr>
                      <a:pPr/>
                      <a:t>[ODKAZ NA BUŇKU]</a:t>
                    </a:fld>
                    <a:endParaRPr lang="en-US" sz="9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</a:endParaRPr>
                  </a:p>
                  <a:p>
                    <a:fld id="{604C77E3-8651-436F-BC38-7D3CB7A948BA}" type="PERCENTAGE">
                      <a:rPr lang="en-US"/>
                      <a:pPr/>
                      <a:t>[PROCENTO]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77209701980544"/>
                      <c:h val="0.1198953496604612"/>
                    </c:manualLayout>
                  </c15:layout>
                  <c15:dlblFieldTable>
                    <c15:dlblFTEntry>
                      <c15:txfldGUID>{63149962-7634-4F8A-BB0E-55AA2C4CDF9D}</c15:txfldGUID>
                      <c15:f>Výpočet!$U$37</c15:f>
                      <c15:dlblFieldTableCache>
                        <c:ptCount val="1"/>
                        <c:pt idx="0">
                          <c:v>8,01</c:v>
                        </c:pt>
                      </c15:dlblFieldTableCache>
                    </c15:dlblFTEntry>
                    <c15:dlblFTEntry>
                      <c15:txfldGUID>{0B837FDD-E931-4C28-8849-7AEF0215E359}</c15:txfldGUID>
                      <c15:f>Výpočet!$W$37</c15:f>
                      <c15:dlblFieldTableCache>
                        <c:ptCount val="1"/>
                        <c:pt idx="0">
                          <c:v>4,7%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09A-41B6-AD39-2C5D6B94F11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(Výpočet!$U$35,Výpočet!$U$37)</c:f>
              <c:numCache>
                <c:formatCode>0.00</c:formatCode>
                <c:ptCount val="2"/>
                <c:pt idx="0">
                  <c:v>162.50346728918669</c:v>
                </c:pt>
                <c:pt idx="1">
                  <c:v>8.0142867671101516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A-41B6-AD39-2C5D6B94F11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Graf četnosti dní v závislosti na 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574338418155074"/>
          <c:y val="0.1642810246814321"/>
          <c:w val="0.78312410268013477"/>
          <c:h val="0.77485681171473153"/>
        </c:manualLayout>
      </c:layout>
      <c:lineChart>
        <c:grouping val="standard"/>
        <c:varyColors val="0"/>
        <c:ser>
          <c:idx val="1"/>
          <c:order val="0"/>
          <c:tx>
            <c:strRef>
              <c:f>Pomery_vykonu!$O$2:$O$5</c:f>
              <c:strCache>
                <c:ptCount val="4"/>
                <c:pt idx="2">
                  <c:v>te</c:v>
                </c:pt>
                <c:pt idx="3">
                  <c:v>°C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Pomery_vykonu!$O$6:$O$606</c:f>
              <c:numCache>
                <c:formatCode>0.00</c:formatCode>
                <c:ptCount val="601"/>
                <c:pt idx="0">
                  <c:v>-12</c:v>
                </c:pt>
                <c:pt idx="1">
                  <c:v>-9.6263230577843757</c:v>
                </c:pt>
                <c:pt idx="2">
                  <c:v>-8.9629395869392177</c:v>
                </c:pt>
                <c:pt idx="3">
                  <c:v>-8.4971135526957653</c:v>
                </c:pt>
                <c:pt idx="4">
                  <c:v>-8.1266280328184415</c:v>
                </c:pt>
                <c:pt idx="5">
                  <c:v>-7.8142166779313733</c:v>
                </c:pt>
                <c:pt idx="6">
                  <c:v>-7.5415459118625492</c:v>
                </c:pt>
                <c:pt idx="7">
                  <c:v>-7.298072842260968</c:v>
                </c:pt>
                <c:pt idx="8">
                  <c:v>-7.0771106824406971</c:v>
                </c:pt>
                <c:pt idx="9">
                  <c:v>-6.8741209710235758</c:v>
                </c:pt>
                <c:pt idx="10">
                  <c:v>-6.6858658524947572</c:v>
                </c:pt>
                <c:pt idx="11">
                  <c:v>-6.5099451409667459</c:v>
                </c:pt>
                <c:pt idx="12">
                  <c:v>-6.3445246988209334</c:v>
                </c:pt>
                <c:pt idx="13">
                  <c:v>-6.1881678641776183</c:v>
                </c:pt>
                <c:pt idx="14">
                  <c:v>-6.0397259949857691</c:v>
                </c:pt>
                <c:pt idx="15">
                  <c:v>-5.8982647028246724</c:v>
                </c:pt>
                <c:pt idx="16">
                  <c:v>-5.7630125629381723</c:v>
                </c:pt>
                <c:pt idx="17">
                  <c:v>-5.6333244918067074</c:v>
                </c:pt>
                <c:pt idx="18">
                  <c:v>-5.5086549919512606</c:v>
                </c:pt>
                <c:pt idx="19">
                  <c:v>-5.3885382115386697</c:v>
                </c:pt>
                <c:pt idx="20">
                  <c:v>-5.2725728200191497</c:v>
                </c:pt>
                <c:pt idx="21">
                  <c:v>-5.1604103569019948</c:v>
                </c:pt>
                <c:pt idx="22">
                  <c:v>-5.0517461307046538</c:v>
                </c:pt>
                <c:pt idx="23">
                  <c:v>-4.9463120207656317</c:v>
                </c:pt>
                <c:pt idx="24">
                  <c:v>-4.843870719635003</c:v>
                </c:pt>
                <c:pt idx="25">
                  <c:v>-4.7442110804532582</c:v>
                </c:pt>
                <c:pt idx="26">
                  <c:v>-4.6471443220673727</c:v>
                </c:pt>
                <c:pt idx="27">
                  <c:v>-4.5525009072436049</c:v>
                </c:pt>
                <c:pt idx="28">
                  <c:v>-4.4601279543807237</c:v>
                </c:pt>
                <c:pt idx="29">
                  <c:v>-4.3698870759802624</c:v>
                </c:pt>
                <c:pt idx="30">
                  <c:v>-4.2816525613955392</c:v>
                </c:pt>
                <c:pt idx="31">
                  <c:v>-4.1953098395115873</c:v>
                </c:pt>
                <c:pt idx="32">
                  <c:v>-4.1107541707026805</c:v>
                </c:pt>
                <c:pt idx="33">
                  <c:v>-4.0278895278603812</c:v>
                </c:pt>
                <c:pt idx="34">
                  <c:v>-3.9466276343287419</c:v>
                </c:pt>
                <c:pt idx="35">
                  <c:v>-3.8668871328303567</c:v>
                </c:pt>
                <c:pt idx="36">
                  <c:v>-3.7885928643584776</c:v>
                </c:pt>
                <c:pt idx="37">
                  <c:v>-3.7116752398697095</c:v>
                </c:pt>
                <c:pt idx="38">
                  <c:v>-3.6360696906779744</c:v>
                </c:pt>
                <c:pt idx="39">
                  <c:v>-3.5617161859040536</c:v>
                </c:pt>
                <c:pt idx="40">
                  <c:v>-3.4885588073094027</c:v>
                </c:pt>
                <c:pt idx="41">
                  <c:v>-3.4165453734426841</c:v>
                </c:pt>
                <c:pt idx="42">
                  <c:v>-3.3456271063298502</c:v>
                </c:pt>
                <c:pt idx="43">
                  <c:v>-3.275758335005527</c:v>
                </c:pt>
                <c:pt idx="44">
                  <c:v>-3.2068962310611226</c:v>
                </c:pt>
                <c:pt idx="45">
                  <c:v>-3.1390005721112395</c:v>
                </c:pt>
                <c:pt idx="46">
                  <c:v>-3.0720335296831749</c:v>
                </c:pt>
                <c:pt idx="47">
                  <c:v>-3.0059594785375232</c:v>
                </c:pt>
                <c:pt idx="48">
                  <c:v>-2.9407448248497765</c:v>
                </c:pt>
                <c:pt idx="49">
                  <c:v>-2.8763578510376089</c:v>
                </c:pt>
                <c:pt idx="50">
                  <c:v>-2.8127685753182998</c:v>
                </c:pt>
                <c:pt idx="51">
                  <c:v>-2.7499486243345288</c:v>
                </c:pt>
                <c:pt idx="52">
                  <c:v>-2.6878711174030379</c:v>
                </c:pt>
                <c:pt idx="53">
                  <c:v>-2.6265105611250146</c:v>
                </c:pt>
                <c:pt idx="54">
                  <c:v>-2.5658427532546515</c:v>
                </c:pt>
                <c:pt idx="55">
                  <c:v>-2.5058446948582063</c:v>
                </c:pt>
                <c:pt idx="56">
                  <c:v>-2.4464945099124975</c:v>
                </c:pt>
                <c:pt idx="57">
                  <c:v>-2.3877713715926063</c:v>
                </c:pt>
                <c:pt idx="58">
                  <c:v>-2.3296554345859768</c:v>
                </c:pt>
                <c:pt idx="59">
                  <c:v>-2.2721277728459484</c:v>
                </c:pt>
                <c:pt idx="60">
                  <c:v>-2.2151703222638961</c:v>
                </c:pt>
                <c:pt idx="61">
                  <c:v>-2.158765827796536</c:v>
                </c:pt>
                <c:pt idx="62">
                  <c:v>-2.1028977946358136</c:v>
                </c:pt>
                <c:pt idx="63">
                  <c:v>-2.0475504430526374</c:v>
                </c:pt>
                <c:pt idx="64">
                  <c:v>-1.9927086665847895</c:v>
                </c:pt>
                <c:pt idx="65">
                  <c:v>-1.9383579932735682</c:v>
                </c:pt>
                <c:pt idx="66">
                  <c:v>-1.8844845496838101</c:v>
                </c:pt>
                <c:pt idx="67">
                  <c:v>-1.8310750274688772</c:v>
                </c:pt>
                <c:pt idx="68">
                  <c:v>-1.778116652265469</c:v>
                </c:pt>
                <c:pt idx="69">
                  <c:v>-1.7255971547247242</c:v>
                </c:pt>
                <c:pt idx="70">
                  <c:v>-1.6735047435040737</c:v>
                </c:pt>
                <c:pt idx="71">
                  <c:v>-1.6218280800615421</c:v>
                </c:pt>
                <c:pt idx="72">
                  <c:v>-1.5705562551086327</c:v>
                </c:pt>
                <c:pt idx="73">
                  <c:v>-1.519678766591495</c:v>
                </c:pt>
                <c:pt idx="74">
                  <c:v>-1.4691854990817248</c:v>
                </c:pt>
                <c:pt idx="75">
                  <c:v>-1.4190667044689782</c:v>
                </c:pt>
                <c:pt idx="76">
                  <c:v>-1.3693129838571103</c:v>
                </c:pt>
                <c:pt idx="77">
                  <c:v>-1.3199152705740325</c:v>
                </c:pt>
                <c:pt idx="78">
                  <c:v>-1.2708648142134518</c:v>
                </c:pt>
                <c:pt idx="79">
                  <c:v>-1.222153165633463</c:v>
                </c:pt>
                <c:pt idx="80">
                  <c:v>-1.1737721628433864</c:v>
                </c:pt>
                <c:pt idx="81">
                  <c:v>-1.1257139177159132</c:v>
                </c:pt>
                <c:pt idx="82">
                  <c:v>-1.0779708034667514</c:v>
                </c:pt>
                <c:pt idx="83">
                  <c:v>-1.0305354428488904</c:v>
                </c:pt>
                <c:pt idx="84">
                  <c:v>-0.98340069701233901</c:v>
                </c:pt>
                <c:pt idx="85">
                  <c:v>-0.93655965498479254</c:v>
                </c:pt>
                <c:pt idx="86">
                  <c:v>-0.89000562373152192</c:v>
                </c:pt>
                <c:pt idx="87">
                  <c:v>-0.84373211875637111</c:v>
                </c:pt>
                <c:pt idx="88">
                  <c:v>-0.79773285520865045</c:v>
                </c:pt>
                <c:pt idx="89">
                  <c:v>-0.75200173946315374</c:v>
                </c:pt>
                <c:pt idx="90">
                  <c:v>-0.70653286114335323</c:v>
                </c:pt>
                <c:pt idx="91">
                  <c:v>-0.66132048555954981</c:v>
                </c:pt>
                <c:pt idx="92">
                  <c:v>-0.61635904653641305</c:v>
                </c:pt>
                <c:pt idx="93">
                  <c:v>-0.57164313960560698</c:v>
                </c:pt>
                <c:pt idx="94">
                  <c:v>-0.52716751554139663</c:v>
                </c:pt>
                <c:pt idx="95">
                  <c:v>-0.4829270742184395</c:v>
                </c:pt>
                <c:pt idx="96">
                  <c:v>-0.43891685877254893</c:v>
                </c:pt>
                <c:pt idx="97">
                  <c:v>-0.39513205004644014</c:v>
                </c:pt>
                <c:pt idx="98">
                  <c:v>-0.35156796130386958</c:v>
                </c:pt>
                <c:pt idx="99">
                  <c:v>-0.30822003319653213</c:v>
                </c:pt>
                <c:pt idx="100">
                  <c:v>-0.26508382896923521</c:v>
                </c:pt>
                <c:pt idx="101">
                  <c:v>-0.22215502988983182</c:v>
                </c:pt>
                <c:pt idx="102">
                  <c:v>-0.17942943089125762</c:v>
                </c:pt>
                <c:pt idx="103">
                  <c:v>-0.13690293641382212</c:v>
                </c:pt>
                <c:pt idx="104">
                  <c:v>-9.4571556436765292E-2</c:v>
                </c:pt>
                <c:pt idx="105">
                  <c:v>-5.2431402688688067E-2</c:v>
                </c:pt>
                <c:pt idx="106">
                  <c:v>-1.0478685027210943E-2</c:v>
                </c:pt>
                <c:pt idx="107">
                  <c:v>3.1290292021306954E-2</c:v>
                </c:pt>
                <c:pt idx="108">
                  <c:v>7.2879132570330185E-2</c:v>
                </c:pt>
                <c:pt idx="109">
                  <c:v>0.11429135253812817</c:v>
                </c:pt>
                <c:pt idx="110">
                  <c:v>0.15553038267665542</c:v>
                </c:pt>
                <c:pt idx="111">
                  <c:v>0.19659957147121077</c:v>
                </c:pt>
                <c:pt idx="112">
                  <c:v>0.23750218791773925</c:v>
                </c:pt>
                <c:pt idx="113">
                  <c:v>0.27824142418378273</c:v>
                </c:pt>
                <c:pt idx="114">
                  <c:v>0.31882039815908847</c:v>
                </c:pt>
                <c:pt idx="115">
                  <c:v>0.35924215590122266</c:v>
                </c:pt>
                <c:pt idx="116">
                  <c:v>0.39950967398162085</c:v>
                </c:pt>
                <c:pt idx="117">
                  <c:v>0.43962586173667439</c:v>
                </c:pt>
                <c:pt idx="118">
                  <c:v>0.47959356342874315</c:v>
                </c:pt>
                <c:pt idx="119">
                  <c:v>0.51941556032123515</c:v>
                </c:pt>
                <c:pt idx="120">
                  <c:v>0.55909457267198448</c:v>
                </c:pt>
                <c:pt idx="121">
                  <c:v>0.59863326164879993</c:v>
                </c:pt>
                <c:pt idx="122">
                  <c:v>0.63803423117072988</c:v>
                </c:pt>
                <c:pt idx="123">
                  <c:v>0.6773000296787135</c:v>
                </c:pt>
                <c:pt idx="124">
                  <c:v>0.71643315183868594</c:v>
                </c:pt>
                <c:pt idx="125">
                  <c:v>0.75543604018037414</c:v>
                </c:pt>
                <c:pt idx="126">
                  <c:v>0.79431108667466965</c:v>
                </c:pt>
                <c:pt idx="127">
                  <c:v>0.83306063425237475</c:v>
                </c:pt>
                <c:pt idx="128">
                  <c:v>0.87168697826690611</c:v>
                </c:pt>
                <c:pt idx="129">
                  <c:v>0.91019236790351599</c:v>
                </c:pt>
                <c:pt idx="130">
                  <c:v>0.94857900753738278</c:v>
                </c:pt>
                <c:pt idx="131">
                  <c:v>0.98684905804273981</c:v>
                </c:pt>
                <c:pt idx="132">
                  <c:v>1.0250046380553144</c:v>
                </c:pt>
                <c:pt idx="133">
                  <c:v>1.0630478251899458</c:v>
                </c:pt>
                <c:pt idx="134">
                  <c:v>1.1009806572154162</c:v>
                </c:pt>
                <c:pt idx="135">
                  <c:v>1.1388051331882831</c:v>
                </c:pt>
                <c:pt idx="136">
                  <c:v>1.1765232145473821</c:v>
                </c:pt>
                <c:pt idx="137">
                  <c:v>1.2141368261708241</c:v>
                </c:pt>
                <c:pt idx="138">
                  <c:v>1.2516478573967813</c:v>
                </c:pt>
                <c:pt idx="139">
                  <c:v>1.2890581630098907</c:v>
                </c:pt>
                <c:pt idx="140">
                  <c:v>1.3263695641943727</c:v>
                </c:pt>
                <c:pt idx="141">
                  <c:v>1.363583849455452</c:v>
                </c:pt>
                <c:pt idx="142">
                  <c:v>1.4007027755102506</c:v>
                </c:pt>
                <c:pt idx="143">
                  <c:v>1.4377280681494167</c:v>
                </c:pt>
                <c:pt idx="144">
                  <c:v>1.4746614230706747</c:v>
                </c:pt>
                <c:pt idx="145">
                  <c:v>1.5115045066853448</c:v>
                </c:pt>
                <c:pt idx="146">
                  <c:v>1.5482589568990424</c:v>
                </c:pt>
                <c:pt idx="147">
                  <c:v>1.5849263838673622</c:v>
                </c:pt>
                <c:pt idx="148">
                  <c:v>1.6215083707277351</c:v>
                </c:pt>
                <c:pt idx="149">
                  <c:v>1.658006474308225</c:v>
                </c:pt>
                <c:pt idx="150">
                  <c:v>1.6944222258142361</c:v>
                </c:pt>
                <c:pt idx="151">
                  <c:v>1.7307571314939487</c:v>
                </c:pt>
                <c:pt idx="152">
                  <c:v>1.7670126732832525</c:v>
                </c:pt>
                <c:pt idx="153">
                  <c:v>1.8031903094310735</c:v>
                </c:pt>
                <c:pt idx="154">
                  <c:v>1.8392914751056484</c:v>
                </c:pt>
                <c:pt idx="155">
                  <c:v>1.8753175829826496</c:v>
                </c:pt>
                <c:pt idx="156">
                  <c:v>1.9112700238156712</c:v>
                </c:pt>
                <c:pt idx="157">
                  <c:v>1.9471501669898306</c:v>
                </c:pt>
                <c:pt idx="158">
                  <c:v>1.9829593610590628</c:v>
                </c:pt>
                <c:pt idx="159">
                  <c:v>2.0186989342677073</c:v>
                </c:pt>
                <c:pt idx="160">
                  <c:v>2.0543701950569648</c:v>
                </c:pt>
                <c:pt idx="161">
                  <c:v>2.0899744325567351</c:v>
                </c:pt>
                <c:pt idx="162">
                  <c:v>2.1255129170634213</c:v>
                </c:pt>
                <c:pt idx="163">
                  <c:v>2.1609869005041453</c:v>
                </c:pt>
                <c:pt idx="164">
                  <c:v>2.1963976168878716</c:v>
                </c:pt>
                <c:pt idx="165">
                  <c:v>2.2317462827439147</c:v>
                </c:pt>
                <c:pt idx="166">
                  <c:v>2.2670340975482581</c:v>
                </c:pt>
                <c:pt idx="167">
                  <c:v>2.3022622441381113</c:v>
                </c:pt>
                <c:pt idx="168">
                  <c:v>2.337431889115102</c:v>
                </c:pt>
                <c:pt idx="169">
                  <c:v>2.372544183237558</c:v>
                </c:pt>
                <c:pt idx="170">
                  <c:v>2.4076002618021164</c:v>
                </c:pt>
                <c:pt idx="171">
                  <c:v>2.4426012450152026</c:v>
                </c:pt>
                <c:pt idx="172">
                  <c:v>2.4775482383545668</c:v>
                </c:pt>
                <c:pt idx="173">
                  <c:v>2.5124423329213137</c:v>
                </c:pt>
                <c:pt idx="174">
                  <c:v>2.5472846057826999</c:v>
                </c:pt>
                <c:pt idx="175">
                  <c:v>2.5820761203060112</c:v>
                </c:pt>
                <c:pt idx="176">
                  <c:v>2.6168179264838596</c:v>
                </c:pt>
                <c:pt idx="177">
                  <c:v>2.651511061251087</c:v>
                </c:pt>
                <c:pt idx="178">
                  <c:v>2.6861565487936918</c:v>
                </c:pt>
                <c:pt idx="179">
                  <c:v>2.7207554008499208</c:v>
                </c:pt>
                <c:pt idx="180">
                  <c:v>2.7553086170038164</c:v>
                </c:pt>
                <c:pt idx="181">
                  <c:v>2.7898171849715343</c:v>
                </c:pt>
                <c:pt idx="182">
                  <c:v>2.8242820808805433</c:v>
                </c:pt>
                <c:pt idx="183">
                  <c:v>2.8587042695420593</c:v>
                </c:pt>
                <c:pt idx="184">
                  <c:v>2.8930847047168271</c:v>
                </c:pt>
                <c:pt idx="185">
                  <c:v>2.9274243293745688</c:v>
                </c:pt>
                <c:pt idx="186">
                  <c:v>2.9617240759471937</c:v>
                </c:pt>
                <c:pt idx="187">
                  <c:v>2.9959848665760394</c:v>
                </c:pt>
                <c:pt idx="188">
                  <c:v>3.0302076133533546</c:v>
                </c:pt>
                <c:pt idx="189">
                  <c:v>3.0643932185580951</c:v>
                </c:pt>
                <c:pt idx="190">
                  <c:v>3.0985425748863413</c:v>
                </c:pt>
                <c:pt idx="191">
                  <c:v>3.1326565656764256</c:v>
                </c:pt>
                <c:pt idx="192">
                  <c:v>3.1667360651289922</c:v>
                </c:pt>
                <c:pt idx="193">
                  <c:v>3.2007819385220504</c:v>
                </c:pt>
                <c:pt idx="194">
                  <c:v>3.2347950424213199</c:v>
                </c:pt>
                <c:pt idx="195">
                  <c:v>3.2687762248859045</c:v>
                </c:pt>
                <c:pt idx="196">
                  <c:v>3.3027263256694663</c:v>
                </c:pt>
                <c:pt idx="197">
                  <c:v>3.3366461764170676</c:v>
                </c:pt>
                <c:pt idx="198">
                  <c:v>3.3705366008577808</c:v>
                </c:pt>
                <c:pt idx="199">
                  <c:v>3.4043984149932456</c:v>
                </c:pt>
                <c:pt idx="200">
                  <c:v>3.4382324272821947</c:v>
                </c:pt>
                <c:pt idx="201">
                  <c:v>3.4720394388212465</c:v>
                </c:pt>
                <c:pt idx="202">
                  <c:v>3.505820243521887</c:v>
                </c:pt>
                <c:pt idx="203">
                  <c:v>3.5395756282838846</c:v>
                </c:pt>
                <c:pt idx="204">
                  <c:v>3.5733063731652308</c:v>
                </c:pt>
                <c:pt idx="205">
                  <c:v>3.607013251548647</c:v>
                </c:pt>
                <c:pt idx="206">
                  <c:v>3.6406970303048851</c:v>
                </c:pt>
                <c:pt idx="207">
                  <c:v>3.6743584699527396</c:v>
                </c:pt>
                <c:pt idx="208">
                  <c:v>3.7079983248161135</c:v>
                </c:pt>
                <c:pt idx="209">
                  <c:v>3.7416173431779676</c:v>
                </c:pt>
                <c:pt idx="210">
                  <c:v>3.7752162674314622</c:v>
                </c:pt>
                <c:pt idx="211">
                  <c:v>3.8087958342282668</c:v>
                </c:pt>
                <c:pt idx="212">
                  <c:v>3.8423567746241467</c:v>
                </c:pt>
                <c:pt idx="213">
                  <c:v>3.8758998142219276</c:v>
                </c:pt>
                <c:pt idx="214">
                  <c:v>3.9094256733118922</c:v>
                </c:pt>
                <c:pt idx="215">
                  <c:v>3.9429350670097403</c:v>
                </c:pt>
                <c:pt idx="216">
                  <c:v>3.9764287053921059</c:v>
                </c:pt>
                <c:pt idx="217">
                  <c:v>4.0099072936298157</c:v>
                </c:pt>
                <c:pt idx="218">
                  <c:v>4.0433715321188348</c:v>
                </c:pt>
                <c:pt idx="219">
                  <c:v>4.0768221166090974</c:v>
                </c:pt>
                <c:pt idx="220">
                  <c:v>4.1102597383312087</c:v>
                </c:pt>
                <c:pt idx="221">
                  <c:v>4.1436850841211008</c:v>
                </c:pt>
                <c:pt idx="222">
                  <c:v>4.1770988365427524</c:v>
                </c:pt>
                <c:pt idx="223">
                  <c:v>4.2105016740089347</c:v>
                </c:pt>
                <c:pt idx="224">
                  <c:v>4.2438942709002045</c:v>
                </c:pt>
                <c:pt idx="225">
                  <c:v>4.2772772976820388</c:v>
                </c:pt>
                <c:pt idx="226">
                  <c:v>4.3106514210202835</c:v>
                </c:pt>
                <c:pt idx="227">
                  <c:v>4.344017303894919</c:v>
                </c:pt>
                <c:pt idx="228">
                  <c:v>4.3773756057122259</c:v>
                </c:pt>
                <c:pt idx="229">
                  <c:v>4.4107269824153992</c:v>
                </c:pt>
                <c:pt idx="230">
                  <c:v>4.4440720865936605</c:v>
                </c:pt>
                <c:pt idx="231">
                  <c:v>4.477411567589904</c:v>
                </c:pt>
                <c:pt idx="232">
                  <c:v>4.5107460716069898</c:v>
                </c:pt>
                <c:pt idx="233">
                  <c:v>4.5440762418126379</c:v>
                </c:pt>
                <c:pt idx="234">
                  <c:v>4.5774027184430874</c:v>
                </c:pt>
                <c:pt idx="235">
                  <c:v>4.6107261389054504</c:v>
                </c:pt>
                <c:pt idx="236">
                  <c:v>4.644047137878907</c:v>
                </c:pt>
                <c:pt idx="237">
                  <c:v>4.6773663474147344</c:v>
                </c:pt>
                <c:pt idx="238">
                  <c:v>4.7106843970352212</c:v>
                </c:pt>
                <c:pt idx="239">
                  <c:v>4.7440019138315339</c:v>
                </c:pt>
                <c:pt idx="240">
                  <c:v>4.7773195225605498</c:v>
                </c:pt>
                <c:pt idx="241">
                  <c:v>4.8106378457407288</c:v>
                </c:pt>
                <c:pt idx="242">
                  <c:v>4.843957503747049</c:v>
                </c:pt>
                <c:pt idx="243">
                  <c:v>4.877279114905031</c:v>
                </c:pt>
                <c:pt idx="244">
                  <c:v>4.9106032955839538</c:v>
                </c:pt>
                <c:pt idx="245">
                  <c:v>4.9439306602892188</c:v>
                </c:pt>
                <c:pt idx="246">
                  <c:v>4.9772618217539772</c:v>
                </c:pt>
                <c:pt idx="247">
                  <c:v>5.0105973910299966</c:v>
                </c:pt>
                <c:pt idx="248">
                  <c:v>5.0439379775778734</c:v>
                </c:pt>
                <c:pt idx="249">
                  <c:v>5.0772841893565532</c:v>
                </c:pt>
                <c:pt idx="250">
                  <c:v>5.1106366329122652</c:v>
                </c:pt>
                <c:pt idx="251">
                  <c:v>5.1439959134668696</c:v>
                </c:pt>
                <c:pt idx="252">
                  <c:v>5.1773626350056592</c:v>
                </c:pt>
                <c:pt idx="253">
                  <c:v>5.2107374003646729</c:v>
                </c:pt>
                <c:pt idx="254">
                  <c:v>5.2441208113175133</c:v>
                </c:pt>
                <c:pt idx="255">
                  <c:v>5.2775134686617786</c:v>
                </c:pt>
                <c:pt idx="256">
                  <c:v>5.310915972305045</c:v>
                </c:pt>
                <c:pt idx="257">
                  <c:v>5.3443289213505354</c:v>
                </c:pt>
                <c:pt idx="258">
                  <c:v>5.3777529141824401</c:v>
                </c:pt>
                <c:pt idx="259">
                  <c:v>5.4111885485509541</c:v>
                </c:pt>
                <c:pt idx="260">
                  <c:v>5.4446364216570613</c:v>
                </c:pt>
                <c:pt idx="261">
                  <c:v>5.4780971302371055</c:v>
                </c:pt>
                <c:pt idx="262">
                  <c:v>5.5115712706471598</c:v>
                </c:pt>
                <c:pt idx="263">
                  <c:v>5.5450594389472636</c:v>
                </c:pt>
                <c:pt idx="264">
                  <c:v>5.5785622309855452</c:v>
                </c:pt>
                <c:pt idx="265">
                  <c:v>5.6120802424822562</c:v>
                </c:pt>
                <c:pt idx="266">
                  <c:v>5.6456140691137691</c:v>
                </c:pt>
                <c:pt idx="267">
                  <c:v>5.6791643065965465</c:v>
                </c:pt>
                <c:pt idx="268">
                  <c:v>5.7127315507711671</c:v>
                </c:pt>
                <c:pt idx="269">
                  <c:v>5.7463163976863871</c:v>
                </c:pt>
                <c:pt idx="270">
                  <c:v>5.7799194436833146</c:v>
                </c:pt>
                <c:pt idx="271">
                  <c:v>5.8135412854796806</c:v>
                </c:pt>
                <c:pt idx="272">
                  <c:v>5.8471825202543215</c:v>
                </c:pt>
                <c:pt idx="273">
                  <c:v>5.8808437457318421</c:v>
                </c:pt>
                <c:pt idx="274">
                  <c:v>5.9145255602675135</c:v>
                </c:pt>
                <c:pt idx="275">
                  <c:v>5.9482285629324485</c:v>
                </c:pt>
                <c:pt idx="276">
                  <c:v>5.9819533535990992</c:v>
                </c:pt>
                <c:pt idx="277">
                  <c:v>6.015700533027089</c:v>
                </c:pt>
                <c:pt idx="278">
                  <c:v>6.0494707029494412</c:v>
                </c:pt>
                <c:pt idx="279">
                  <c:v>6.0832644661592239</c:v>
                </c:pt>
                <c:pt idx="280">
                  <c:v>6.117082426596677</c:v>
                </c:pt>
                <c:pt idx="281">
                  <c:v>6.1509251894368075</c:v>
                </c:pt>
                <c:pt idx="282">
                  <c:v>6.1847933611775678</c:v>
                </c:pt>
                <c:pt idx="283">
                  <c:v>6.2186875497285694</c:v>
                </c:pt>
                <c:pt idx="284">
                  <c:v>6.2526083645004782</c:v>
                </c:pt>
                <c:pt idx="285">
                  <c:v>6.2865564164950127</c:v>
                </c:pt>
                <c:pt idx="286">
                  <c:v>6.3205323183956965</c:v>
                </c:pt>
                <c:pt idx="287">
                  <c:v>6.3545366846593314</c:v>
                </c:pt>
                <c:pt idx="288">
                  <c:v>6.3885701316082786</c:v>
                </c:pt>
                <c:pt idx="289">
                  <c:v>6.4226332775235786</c:v>
                </c:pt>
                <c:pt idx="290">
                  <c:v>6.4567267427389439</c:v>
                </c:pt>
                <c:pt idx="291">
                  <c:v>6.490851149735696</c:v>
                </c:pt>
                <c:pt idx="292">
                  <c:v>6.5250071232386775</c:v>
                </c:pt>
                <c:pt idx="293">
                  <c:v>6.5591952903131867</c:v>
                </c:pt>
                <c:pt idx="294">
                  <c:v>6.5934162804629848</c:v>
                </c:pt>
                <c:pt idx="295">
                  <c:v>6.6276707257294518</c:v>
                </c:pt>
                <c:pt idx="296">
                  <c:v>6.6619592607919005</c:v>
                </c:pt>
                <c:pt idx="297">
                  <c:v>6.6962825230691356</c:v>
                </c:pt>
                <c:pt idx="298">
                  <c:v>6.7306411528223054</c:v>
                </c:pt>
                <c:pt idx="299">
                  <c:v>6.7650357932590905</c:v>
                </c:pt>
                <c:pt idx="300">
                  <c:v>6.7994670906392987</c:v>
                </c:pt>
                <c:pt idx="301">
                  <c:v>6.8339356943819363</c:v>
                </c:pt>
                <c:pt idx="302">
                  <c:v>6.868442257173772</c:v>
                </c:pt>
                <c:pt idx="303">
                  <c:v>6.9029874350795328</c:v>
                </c:pt>
                <c:pt idx="304">
                  <c:v>6.9375718876537205</c:v>
                </c:pt>
                <c:pt idx="305">
                  <c:v>6.972196278054156</c:v>
                </c:pt>
                <c:pt idx="306">
                  <c:v>7.0068612731573143</c:v>
                </c:pt>
                <c:pt idx="307">
                  <c:v>7.0415675436755221</c:v>
                </c:pt>
                <c:pt idx="308">
                  <c:v>7.0763157642760968</c:v>
                </c:pt>
                <c:pt idx="309">
                  <c:v>7.1111066137024617</c:v>
                </c:pt>
                <c:pt idx="310">
                  <c:v>7.1459407748973893</c:v>
                </c:pt>
                <c:pt idx="311">
                  <c:v>7.180818935128392</c:v>
                </c:pt>
                <c:pt idx="312">
                  <c:v>7.2157417861153608</c:v>
                </c:pt>
                <c:pt idx="313">
                  <c:v>7.2507100241605578</c:v>
                </c:pt>
                <c:pt idx="314">
                  <c:v>7.2857243502810158</c:v>
                </c:pt>
                <c:pt idx="315">
                  <c:v>7.3207854703434858</c:v>
                </c:pt>
                <c:pt idx="316">
                  <c:v>7.3558940952019691</c:v>
                </c:pt>
                <c:pt idx="317">
                  <c:v>7.3910509408379923</c:v>
                </c:pt>
                <c:pt idx="318">
                  <c:v>7.4262567285036782</c:v>
                </c:pt>
                <c:pt idx="319">
                  <c:v>7.461512184867753</c:v>
                </c:pt>
                <c:pt idx="320">
                  <c:v>7.4968180421645982</c:v>
                </c:pt>
                <c:pt idx="321">
                  <c:v>7.532175038346435</c:v>
                </c:pt>
                <c:pt idx="322">
                  <c:v>7.5675839172387818</c:v>
                </c:pt>
                <c:pt idx="323">
                  <c:v>7.6030454286993265</c:v>
                </c:pt>
                <c:pt idx="324">
                  <c:v>7.6385603287802946</c:v>
                </c:pt>
                <c:pt idx="325">
                  <c:v>7.6741293798944907</c:v>
                </c:pt>
                <c:pt idx="326">
                  <c:v>7.709753350985137</c:v>
                </c:pt>
                <c:pt idx="327">
                  <c:v>7.7454330176996349</c:v>
                </c:pt>
                <c:pt idx="328">
                  <c:v>7.7811691625674602</c:v>
                </c:pt>
                <c:pt idx="329">
                  <c:v>7.8169625751822585</c:v>
                </c:pt>
                <c:pt idx="330">
                  <c:v>7.8528140523883891</c:v>
                </c:pt>
                <c:pt idx="331">
                  <c:v>7.8887243984720588</c:v>
                </c:pt>
                <c:pt idx="332">
                  <c:v>7.9246944253571812</c:v>
                </c:pt>
                <c:pt idx="333">
                  <c:v>7.9607249528062312</c:v>
                </c:pt>
                <c:pt idx="334">
                  <c:v>7.996816808626221</c:v>
                </c:pt>
                <c:pt idx="335">
                  <c:v>8.0329708288800177</c:v>
                </c:pt>
                <c:pt idx="336">
                  <c:v>8.0691878581032448</c:v>
                </c:pt>
                <c:pt idx="337">
                  <c:v>8.1054687495269402</c:v>
                </c:pt>
                <c:pt idx="338">
                  <c:v>8.1418143653062387</c:v>
                </c:pt>
                <c:pt idx="339">
                  <c:v>8.1782255767553167</c:v>
                </c:pt>
                <c:pt idx="340">
                  <c:v>8.2147032645888416</c:v>
                </c:pt>
                <c:pt idx="341">
                  <c:v>8.2512483191701698</c:v>
                </c:pt>
                <c:pt idx="342">
                  <c:v>8.2878616407666659</c:v>
                </c:pt>
                <c:pt idx="343">
                  <c:v>8.3245441398122892</c:v>
                </c:pt>
                <c:pt idx="344">
                  <c:v>8.3612967371778915</c:v>
                </c:pt>
                <c:pt idx="345">
                  <c:v>8.3981203644494684</c:v>
                </c:pt>
                <c:pt idx="346">
                  <c:v>8.4350159642147009</c:v>
                </c:pt>
                <c:pt idx="347">
                  <c:v>8.4719844903582207</c:v>
                </c:pt>
                <c:pt idx="348">
                  <c:v>8.5090269083658328</c:v>
                </c:pt>
                <c:pt idx="349">
                  <c:v>8.5461441956382522</c:v>
                </c:pt>
                <c:pt idx="350">
                  <c:v>8.5833373418146071</c:v>
                </c:pt>
                <c:pt idx="351">
                  <c:v>8.6206073491062831</c:v>
                </c:pt>
                <c:pt idx="352">
                  <c:v>8.6579552326414433</c:v>
                </c:pt>
                <c:pt idx="353">
                  <c:v>8.6953820208207944</c:v>
                </c:pt>
                <c:pt idx="354">
                  <c:v>8.7328887556850567</c:v>
                </c:pt>
                <c:pt idx="355">
                  <c:v>8.7704764932946944</c:v>
                </c:pt>
                <c:pt idx="356">
                  <c:v>8.8081463041224666</c:v>
                </c:pt>
                <c:pt idx="357">
                  <c:v>8.84589927345937</c:v>
                </c:pt>
                <c:pt idx="358">
                  <c:v>8.8837365018346581</c:v>
                </c:pt>
                <c:pt idx="359">
                  <c:v>8.921659105450539</c:v>
                </c:pt>
                <c:pt idx="360">
                  <c:v>8.9596682166323092</c:v>
                </c:pt>
                <c:pt idx="361">
                  <c:v>8.9977649842946175</c:v>
                </c:pt>
                <c:pt idx="362">
                  <c:v>9.0359505744247137</c:v>
                </c:pt>
                <c:pt idx="363">
                  <c:v>9.0742261705834455</c:v>
                </c:pt>
                <c:pt idx="364">
                  <c:v>9.1125929744249436</c:v>
                </c:pt>
                <c:pt idx="365">
                  <c:v>9.1510522062359225</c:v>
                </c:pt>
                <c:pt idx="366">
                  <c:v>9.189605105495593</c:v>
                </c:pt>
                <c:pt idx="367">
                  <c:v>9.2282529314572379</c:v>
                </c:pt>
                <c:pt idx="368">
                  <c:v>9.2669969637526357</c:v>
                </c:pt>
                <c:pt idx="369">
                  <c:v>9.305838503020432</c:v>
                </c:pt>
                <c:pt idx="370">
                  <c:v>9.3447788715598872</c:v>
                </c:pt>
                <c:pt idx="371">
                  <c:v>9.3838194140112083</c:v>
                </c:pt>
                <c:pt idx="372">
                  <c:v>9.4229614980640513</c:v>
                </c:pt>
                <c:pt idx="373">
                  <c:v>9.4622065151956907</c:v>
                </c:pt>
                <c:pt idx="374">
                  <c:v>9.5015558814405221</c:v>
                </c:pt>
                <c:pt idx="375">
                  <c:v>9.5410110381926998</c:v>
                </c:pt>
                <c:pt idx="376">
                  <c:v>9.5805734530438116</c:v>
                </c:pt>
                <c:pt idx="377">
                  <c:v>9.6202446206575924</c:v>
                </c:pt>
                <c:pt idx="378">
                  <c:v>9.6600260636839526</c:v>
                </c:pt>
                <c:pt idx="379">
                  <c:v>9.6999193337145808</c:v>
                </c:pt>
                <c:pt idx="380">
                  <c:v>9.7399260122827069</c:v>
                </c:pt>
                <c:pt idx="381">
                  <c:v>9.7800477119097327</c:v>
                </c:pt>
                <c:pt idx="382">
                  <c:v>9.8202860772016436</c:v>
                </c:pt>
                <c:pt idx="383">
                  <c:v>9.860642785998369</c:v>
                </c:pt>
                <c:pt idx="384">
                  <c:v>9.9011195505795051</c:v>
                </c:pt>
                <c:pt idx="385">
                  <c:v>9.9417181189300408</c:v>
                </c:pt>
                <c:pt idx="386">
                  <c:v>9.9824402760701556</c:v>
                </c:pt>
                <c:pt idx="387">
                  <c:v>10.023287845453265</c:v>
                </c:pt>
                <c:pt idx="388">
                  <c:v>10.064262690437118</c:v>
                </c:pt>
                <c:pt idx="389">
                  <c:v>10.105366715832957</c:v>
                </c:pt>
                <c:pt idx="390">
                  <c:v>10.14660186953825</c:v>
                </c:pt>
                <c:pt idx="391">
                  <c:v>10.187970144259012</c:v>
                </c:pt>
                <c:pt idx="392">
                  <c:v>10.229473579328294</c:v>
                </c:pt>
                <c:pt idx="393">
                  <c:v>10.271114262627933</c:v>
                </c:pt>
                <c:pt idx="394">
                  <c:v>10.312894332621399</c:v>
                </c:pt>
                <c:pt idx="395">
                  <c:v>10.354815980506313</c:v>
                </c:pt>
                <c:pt idx="396">
                  <c:v>10.396881452495986</c:v>
                </c:pt>
                <c:pt idx="397">
                  <c:v>10.43909305224032</c:v>
                </c:pt>
                <c:pt idx="398">
                  <c:v>10.481453143397406</c:v>
                </c:pt>
                <c:pt idx="399">
                  <c:v>10.523964152368318</c:v>
                </c:pt>
                <c:pt idx="400">
                  <c:v>10.566628571208945</c:v>
                </c:pt>
                <c:pt idx="401">
                  <c:v>10.609448960734142</c:v>
                </c:pt>
                <c:pt idx="402">
                  <c:v>10.652427953831165</c:v>
                </c:pt>
                <c:pt idx="403">
                  <c:v>10.695568259001229</c:v>
                </c:pt>
                <c:pt idx="404">
                  <c:v>10.738872664150202</c:v>
                </c:pt>
                <c:pt idx="405">
                  <c:v>10.782344040651854</c:v>
                </c:pt>
                <c:pt idx="406">
                  <c:v>10.825985347709874</c:v>
                </c:pt>
                <c:pt idx="407">
                  <c:v>10.869799637048102</c:v>
                </c:pt>
                <c:pt idx="408">
                  <c:v>10.91379005796199</c:v>
                </c:pt>
                <c:pt idx="409">
                  <c:v>10.957959862768675</c:v>
                </c:pt>
                <c:pt idx="410">
                  <c:v>11.002312412697751</c:v>
                </c:pt>
                <c:pt idx="411">
                  <c:v>11.046851184270665</c:v>
                </c:pt>
                <c:pt idx="412">
                  <c:v>11.091579776223114</c:v>
                </c:pt>
                <c:pt idx="413">
                  <c:v>11.136501917032611</c:v>
                </c:pt>
                <c:pt idx="414">
                  <c:v>11.181621473122398</c:v>
                </c:pt>
                <c:pt idx="415">
                  <c:v>11.226942457823489</c:v>
                </c:pt>
                <c:pt idx="416">
                  <c:v>11.272469041189337</c:v>
                </c:pt>
                <c:pt idx="417">
                  <c:v>11.31820556077251</c:v>
                </c:pt>
                <c:pt idx="418">
                  <c:v>11.364156533490682</c:v>
                </c:pt>
                <c:pt idx="419">
                  <c:v>11.410326668730857</c:v>
                </c:pt>
                <c:pt idx="420">
                  <c:v>11.456720882866565</c:v>
                </c:pt>
                <c:pt idx="421">
                  <c:v>11.503344315394539</c:v>
                </c:pt>
                <c:pt idx="422">
                  <c:v>11.550202346935848</c:v>
                </c:pt>
                <c:pt idx="423">
                  <c:v>11.597300619394058</c:v>
                </c:pt>
                <c:pt idx="424">
                  <c:v>11.644645058621991</c:v>
                </c:pt>
                <c:pt idx="425">
                  <c:v>11.692241900022072</c:v>
                </c:pt>
                <c:pt idx="426">
                  <c:v>11.74009771759831</c:v>
                </c:pt>
                <c:pt idx="427">
                  <c:v>11.788219457095508</c:v>
                </c:pt>
                <c:pt idx="428">
                  <c:v>11.8366144740127</c:v>
                </c:pt>
                <c:pt idx="429">
                  <c:v>11.885290577473711</c:v>
                </c:pt>
                <c:pt idx="430">
                  <c:v>11.934256081194645</c:v>
                </c:pt>
                <c:pt idx="431">
                  <c:v>11.983519863129033</c:v>
                </c:pt>
                <c:pt idx="432">
                  <c:v>12.033091435829613</c:v>
                </c:pt>
                <c:pt idx="433">
                  <c:v>12.082981030191156</c:v>
                </c:pt>
                <c:pt idx="434">
                  <c:v>12.133199696105825</c:v>
                </c:pt>
                <c:pt idx="435">
                  <c:v>12.183759424786555</c:v>
                </c:pt>
                <c:pt idx="436">
                  <c:v>12.234673299276375</c:v>
                </c:pt>
                <c:pt idx="437">
                  <c:v>12.285955682256848</c:v>
                </c:pt>
                <c:pt idx="438">
                  <c:v>12.337622454187752</c:v>
                </c:pt>
                <c:pt idx="439">
                  <c:v>12.389691320901084</c:v>
                </c:pt>
                <c:pt idx="440">
                  <c:v>12.442182219557113</c:v>
                </c:pt>
                <c:pt idx="441">
                  <c:v>12.495117868205421</c:v>
                </c:pt>
                <c:pt idx="442">
                  <c:v>12.548524532730751</c:v>
                </c:pt>
                <c:pt idx="443">
                  <c:v>12.602433137598796</c:v>
                </c:pt>
                <c:pt idx="444">
                  <c:v>12.656880950567068</c:v>
                </c:pt>
                <c:pt idx="445">
                  <c:v>12.71191429377954</c:v>
                </c:pt>
                <c:pt idx="446">
                  <c:v>12.767593264089195</c:v>
                </c:pt>
                <c:pt idx="447">
                  <c:v>12.824000912188421</c:v>
                </c:pt>
                <c:pt idx="448">
                  <c:v>12.88126436905846</c:v>
                </c:pt>
                <c:pt idx="449">
                  <c:v>12.939620519229734</c:v>
                </c:pt>
                <c:pt idx="450">
                  <c:v>13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0-48B1-B0CF-72A2D65E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005896"/>
        <c:axId val="460003272"/>
      </c:lineChart>
      <c:catAx>
        <c:axId val="460005896"/>
        <c:scaling>
          <c:orientation val="minMax"/>
        </c:scaling>
        <c:delete val="0"/>
        <c:axPos val="t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0003272"/>
        <c:crossesAt val="20"/>
        <c:auto val="1"/>
        <c:lblAlgn val="ctr"/>
        <c:lblOffset val="100"/>
        <c:noMultiLvlLbl val="0"/>
      </c:catAx>
      <c:valAx>
        <c:axId val="460003272"/>
        <c:scaling>
          <c:orientation val="maxMin"/>
          <c:max val="20"/>
          <c:min val="-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0005896"/>
        <c:crosses val="autoZero"/>
        <c:crossBetween val="between"/>
        <c:majorUnit val="5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8.2634295713035877E-2"/>
                  <c:y val="-0.170636847477398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Lit>
              <c:formatCode>General</c:formatCode>
              <c:ptCount val="600"/>
              <c:pt idx="0">
                <c:v>-12.378526327536701</c:v>
              </c:pt>
              <c:pt idx="1">
                <c:v>-11.645321910327464</c:v>
              </c:pt>
              <c:pt idx="2">
                <c:v>-11.130353450842374</c:v>
              </c:pt>
              <c:pt idx="3">
                <c:v>-10.720728681080036</c:v>
              </c:pt>
              <c:pt idx="4">
                <c:v>-10.375283121990933</c:v>
              </c:pt>
              <c:pt idx="5">
                <c:v>-10.07376304952335</c:v>
              </c:pt>
              <c:pt idx="6">
                <c:v>-9.8045201571500762</c:v>
              </c:pt>
              <c:pt idx="7">
                <c:v>-9.5601658574544039</c:v>
              </c:pt>
              <c:pt idx="8">
                <c:v>-9.3356849270544089</c:v>
              </c:pt>
              <c:pt idx="9">
                <c:v>-9.1274990865304133</c:v>
              </c:pt>
              <c:pt idx="10">
                <c:v>-8.9329555956182176</c:v>
              </c:pt>
              <c:pt idx="11">
                <c:v>-8.750027177386194</c:v>
              </c:pt>
              <c:pt idx="12">
                <c:v>-8.5771257769058415</c:v>
              </c:pt>
              <c:pt idx="13">
                <c:v>-8.412981626929561</c:v>
              </c:pt>
              <c:pt idx="14">
                <c:v>-8.2565617421973094</c:v>
              </c:pt>
              <c:pt idx="15">
                <c:v>-8.1070132456339046</c:v>
              </c:pt>
              <c:pt idx="16">
                <c:v>-7.9636228999724636</c:v>
              </c:pt>
              <c:pt idx="17">
                <c:v>-7.8257875415975207</c:v>
              </c:pt>
              <c:pt idx="18">
                <c:v>-7.6929920442780393</c:v>
              </c:pt>
              <c:pt idx="19">
                <c:v>-7.5647926044750697</c:v>
              </c:pt>
              <c:pt idx="20">
                <c:v>-7.4408038644972692</c:v>
              </c:pt>
              <c:pt idx="21">
                <c:v>-7.3206888537143051</c:v>
              </c:pt>
              <c:pt idx="22">
                <c:v>-7.2041510325903957</c:v>
              </c:pt>
              <c:pt idx="23">
                <c:v>-7.0909279287242732</c:v>
              </c:pt>
              <c:pt idx="24">
                <c:v>-6.980785994068615</c:v>
              </c:pt>
              <c:pt idx="25">
                <c:v>-6.8735164101076478</c:v>
              </c:pt>
              <c:pt idx="26">
                <c:v>-6.7689316369534396</c:v>
              </c:pt>
              <c:pt idx="27">
                <c:v>-6.6668625520936757</c:v>
              </c:pt>
              <c:pt idx="28">
                <c:v>-6.5671560608264556</c:v>
              </c:pt>
              <c:pt idx="29">
                <c:v>-6.4696730872308237</c:v>
              </c:pt>
              <c:pt idx="30">
                <c:v>-6.3742868745574768</c:v>
              </c:pt>
              <c:pt idx="31">
                <c:v>-6.2808815390568427</c:v>
              </c:pt>
              <c:pt idx="32">
                <c:v>-6.1893508328065465</c:v>
              </c:pt>
              <c:pt idx="33">
                <c:v>-6.0995970799892234</c:v>
              </c:pt>
              <c:pt idx="34">
                <c:v>-6.0115302579757035</c:v>
              </c:pt>
              <c:pt idx="35">
                <c:v>-5.9250671999747233</c:v>
              </c:pt>
              <c:pt idx="36">
                <c:v>-5.8401309002751809</c:v>
              </c:pt>
              <c:pt idx="37">
                <c:v>-5.7566499064965093</c:v>
              </c:pt>
              <c:pt idx="38">
                <c:v>-5.6745577859737466</c:v>
              </c:pt>
              <c:pt idx="39">
                <c:v>-5.5937926555866753</c:v>
              </c:pt>
              <c:pt idx="40">
                <c:v>-5.5142967661104834</c:v>
              </c:pt>
              <c:pt idx="41">
                <c:v>-5.4360161336048165</c:v>
              </c:pt>
              <c:pt idx="42">
                <c:v>-5.3589002115374349</c:v>
              </c:pt>
              <c:pt idx="43">
                <c:v>-5.2829015983089569</c:v>
              </c:pt>
              <c:pt idx="44">
                <c:v>-5.2079757756477107</c:v>
              </c:pt>
              <c:pt idx="45">
                <c:v>-5.1340808740105075</c:v>
              </c:pt>
              <c:pt idx="46">
                <c:v>-5.0611774616814991</c:v>
              </c:pt>
              <c:pt idx="47">
                <c:v>-4.989228354727647</c:v>
              </c:pt>
              <c:pt idx="48">
                <c:v>-4.9181984453614689</c:v>
              </c:pt>
              <c:pt idx="49">
                <c:v>-4.8480545465930689</c:v>
              </c:pt>
              <c:pt idx="50">
                <c:v>-4.7787652513342671</c:v>
              </c:pt>
              <c:pt idx="51">
                <c:v>-4.7103008043564962</c:v>
              </c:pt>
              <c:pt idx="52">
                <c:v>-4.6426329857077882</c:v>
              </c:pt>
              <c:pt idx="53">
                <c:v>-4.5757350043689868</c:v>
              </c:pt>
              <c:pt idx="54">
                <c:v>-4.5095814010789859</c:v>
              </c:pt>
              <c:pt idx="55">
                <c:v>-4.444147959387827</c:v>
              </c:pt>
              <c:pt idx="56">
                <c:v>-4.3794116241082399</c:v>
              </c:pt>
              <c:pt idx="57">
                <c:v>-4.315350426432623</c:v>
              </c:pt>
              <c:pt idx="58">
                <c:v>-4.2519434150663109</c:v>
              </c:pt>
              <c:pt idx="59">
                <c:v>-4.1891705928012115</c:v>
              </c:pt>
              <c:pt idx="60">
                <c:v>-4.1270128580174017</c:v>
              </c:pt>
              <c:pt idx="61">
                <c:v>-4.0654519506562394</c:v>
              </c:pt>
              <c:pt idx="62">
                <c:v>-4.0044704022573328</c:v>
              </c:pt>
              <c:pt idx="63">
                <c:v>-3.9440514896947469</c:v>
              </c:pt>
              <c:pt idx="64">
                <c:v>-3.8841791922856075</c:v>
              </c:pt>
              <c:pt idx="65">
                <c:v>-3.8248381519778576</c:v>
              </c:pt>
              <c:pt idx="66">
                <c:v>-3.766013636353108</c:v>
              </c:pt>
              <c:pt idx="67">
                <c:v>-3.7076915042071512</c:v>
              </c:pt>
              <c:pt idx="68">
                <c:v>-3.6498581734935307</c:v>
              </c:pt>
              <c:pt idx="69">
                <c:v>-3.5925005914364263</c:v>
              </c:pt>
              <c:pt idx="70">
                <c:v>-3.5356062066375671</c:v>
              </c:pt>
              <c:pt idx="71">
                <c:v>-3.4791629430181246</c:v>
              </c:pt>
              <c:pt idx="72">
                <c:v>-3.4231591754513815</c:v>
              </c:pt>
              <c:pt idx="73">
                <c:v>-3.3675837069550205</c:v>
              </c:pt>
              <c:pt idx="74">
                <c:v>-3.3124257473237222</c:v>
              </c:pt>
              <c:pt idx="75">
                <c:v>-3.2576748930933519</c:v>
              </c:pt>
              <c:pt idx="76">
                <c:v>-3.2033211087374163</c:v>
              </c:pt>
              <c:pt idx="77">
                <c:v>-3.1493547090052552</c:v>
              </c:pt>
              <c:pt idx="78">
                <c:v>-3.0957663423189459</c:v>
              </c:pt>
              <c:pt idx="79">
                <c:v>-3.0425469751530763</c:v>
              </c:pt>
              <c:pt idx="80">
                <c:v>-2.9896878773276718</c:v>
              </c:pt>
              <c:pt idx="81">
                <c:v>-2.937180608150527</c:v>
              </c:pt>
              <c:pt idx="82">
                <c:v>-2.8850170033500593</c:v>
              </c:pt>
              <c:pt idx="83">
                <c:v>-2.8331891627448584</c:v>
              </c:pt>
              <c:pt idx="84">
                <c:v>-2.7816894386000826</c:v>
              </c:pt>
              <c:pt idx="85">
                <c:v>-2.7305104246249901</c:v>
              </c:pt>
              <c:pt idx="86">
                <c:v>-2.6796449455692262</c:v>
              </c:pt>
              <c:pt idx="87">
                <c:v>-2.6290860473789479</c:v>
              </c:pt>
              <c:pt idx="88">
                <c:v>-2.5788269878765941</c:v>
              </c:pt>
              <c:pt idx="89">
                <c:v>-2.5288612279310101</c:v>
              </c:pt>
              <c:pt idx="90">
                <c:v>-2.4791824230869679</c:v>
              </c:pt>
              <c:pt idx="91">
                <c:v>-2.429784415625452</c:v>
              </c:pt>
              <c:pt idx="92">
                <c:v>-2.3806612270281455</c:v>
              </c:pt>
              <c:pt idx="93">
                <c:v>-2.3318070508214568</c:v>
              </c:pt>
              <c:pt idx="94">
                <c:v>-2.2832162457771439</c:v>
              </c:pt>
              <c:pt idx="95">
                <c:v>-2.2348833294482429</c:v>
              </c:pt>
              <c:pt idx="96">
                <c:v>-2.1868029720205016</c:v>
              </c:pt>
              <c:pt idx="97">
                <c:v>-2.1389699904607973</c:v>
              </c:pt>
              <c:pt idx="98">
                <c:v>-2.0913793429453591</c:v>
              </c:pt>
              <c:pt idx="99">
                <c:v>-2.0440261235517525</c:v>
              </c:pt>
              <c:pt idx="100">
                <c:v>-1.9969055571996179</c:v>
              </c:pt>
              <c:pt idx="101">
                <c:v>-1.9500129948262117</c:v>
              </c:pt>
              <c:pt idx="102">
                <c:v>-1.9033439087836346</c:v>
              </c:pt>
              <c:pt idx="103">
                <c:v>-1.8568938884455424</c:v>
              </c:pt>
              <c:pt idx="104">
                <c:v>-1.8106586360118779</c:v>
              </c:pt>
              <c:pt idx="105">
                <c:v>-1.7646339625009091</c:v>
              </c:pt>
              <c:pt idx="106">
                <c:v>-1.7188157839185756</c:v>
              </c:pt>
              <c:pt idx="107">
                <c:v>-1.673200117595627</c:v>
              </c:pt>
              <c:pt idx="108">
                <c:v>-1.6277830786838283</c:v>
              </c:pt>
              <c:pt idx="109">
                <c:v>-1.5825608768028694</c:v>
              </c:pt>
              <c:pt idx="110">
                <c:v>-1.5375298128301935</c:v>
              </c:pt>
              <c:pt idx="111">
                <c:v>-1.4926862758264523</c:v>
              </c:pt>
              <c:pt idx="112">
                <c:v>-1.4480267400896842</c:v>
              </c:pt>
              <c:pt idx="113">
                <c:v>-1.4035477623317298</c:v>
              </c:pt>
              <c:pt idx="114">
                <c:v>-1.3592459789707831</c:v>
              </c:pt>
              <c:pt idx="115">
                <c:v>-1.3151181035343793</c:v>
              </c:pt>
              <c:pt idx="116">
                <c:v>-1.2711609241672956</c:v>
              </c:pt>
              <c:pt idx="117">
                <c:v>-1.2273713012393976</c:v>
              </c:pt>
              <c:pt idx="118">
                <c:v>-1.1837461650485217</c:v>
              </c:pt>
              <c:pt idx="119">
                <c:v>-1.1402825136138439</c:v>
              </c:pt>
              <c:pt idx="120">
                <c:v>-1.0969774105555157</c:v>
              </c:pt>
              <c:pt idx="121">
                <c:v>-1.0538279830564115</c:v>
              </c:pt>
              <c:pt idx="122">
                <c:v>-1.0108314199022512</c:v>
              </c:pt>
              <c:pt idx="123">
                <c:v>-0.9679849695963938</c:v>
              </c:pt>
              <c:pt idx="124">
                <c:v>-0.92528593854589225</c:v>
              </c:pt>
              <c:pt idx="125">
                <c:v>-0.88273168931561585</c:v>
              </c:pt>
              <c:pt idx="126">
                <c:v>-0.84031963894725337</c:v>
              </c:pt>
              <c:pt idx="127">
                <c:v>-0.79804725734041426</c:v>
              </c:pt>
              <c:pt idx="128">
                <c:v>-0.75591206569296077</c:v>
              </c:pt>
              <c:pt idx="129">
                <c:v>-0.71391163499798083</c:v>
              </c:pt>
              <c:pt idx="130">
                <c:v>-0.67204358459498437</c:v>
              </c:pt>
              <c:pt idx="131">
                <c:v>-0.63030558077283771</c:v>
              </c:pt>
              <c:pt idx="132">
                <c:v>-0.58869533542232411</c:v>
              </c:pt>
              <c:pt idx="133">
                <c:v>-0.54721060473613825</c:v>
              </c:pt>
              <c:pt idx="134">
                <c:v>-0.50584918795428102</c:v>
              </c:pt>
              <c:pt idx="135">
                <c:v>-0.46460892615299976</c:v>
              </c:pt>
              <c:pt idx="136">
                <c:v>-0.42348770107538769</c:v>
              </c:pt>
              <c:pt idx="137">
                <c:v>-0.38248343400191764</c:v>
              </c:pt>
              <c:pt idx="138">
                <c:v>-0.34159408465929353</c:v>
              </c:pt>
              <c:pt idx="139">
                <c:v>-0.30081765016602091</c:v>
              </c:pt>
              <c:pt idx="140">
                <c:v>-0.26015216401316188</c:v>
              </c:pt>
              <c:pt idx="141">
                <c:v>-0.21959569507894905</c:v>
              </c:pt>
              <c:pt idx="142">
                <c:v>-0.17914634667576124</c:v>
              </c:pt>
              <c:pt idx="143">
                <c:v>-0.13880225562830262</c:v>
              </c:pt>
              <c:pt idx="144">
                <c:v>-9.8561591381656655E-2</c:v>
              </c:pt>
              <c:pt idx="145">
                <c:v>-5.8422555138047727E-2</c:v>
              </c:pt>
              <c:pt idx="146">
                <c:v>-1.8383379021249979E-2</c:v>
              </c:pt>
              <c:pt idx="147">
                <c:v>2.1557674732527232E-2</c:v>
              </c:pt>
              <c:pt idx="148">
                <c:v>6.1402314558227644E-2</c:v>
              </c:pt>
              <c:pt idx="149">
                <c:v>0.10115222032100313</c:v>
              </c:pt>
              <c:pt idx="150">
                <c:v>0.140809044051732</c:v>
              </c:pt>
              <c:pt idx="151">
                <c:v>0.18037441065979287</c:v>
              </c:pt>
              <c:pt idx="152">
                <c:v>0.2198499186240177</c:v>
              </c:pt>
              <c:pt idx="153">
                <c:v>0.25923714066265369</c:v>
              </c:pt>
              <c:pt idx="154">
                <c:v>0.29853762438306575</c:v>
              </c:pt>
              <c:pt idx="155">
                <c:v>0.33775289291194355</c:v>
              </c:pt>
              <c:pt idx="156">
                <c:v>0.37688444550675904</c:v>
              </c:pt>
              <c:pt idx="157">
                <c:v>0.41593375814912292</c:v>
              </c:pt>
              <c:pt idx="158">
                <c:v>0.45490228412072398</c:v>
              </c:pt>
              <c:pt idx="159">
                <c:v>0.49379145456246043</c:v>
              </c:pt>
              <c:pt idx="160">
                <c:v>0.53260267901739411</c:v>
              </c:pt>
              <c:pt idx="161">
                <c:v>0.57133734595805485</c:v>
              </c:pt>
              <c:pt idx="162">
                <c:v>0.60999682329871519</c:v>
              </c:pt>
              <c:pt idx="163">
                <c:v>0.64858245889311306</c:v>
              </c:pt>
              <c:pt idx="164">
                <c:v>0.68709558101816448</c:v>
              </c:pt>
              <c:pt idx="165">
                <c:v>0.72553749884412611</c:v>
              </c:pt>
              <c:pt idx="166">
                <c:v>0.76390950289172821</c:v>
              </c:pt>
              <c:pt idx="167">
                <c:v>0.80221286547666715</c:v>
              </c:pt>
              <c:pt idx="168">
                <c:v>0.84044884114191376</c:v>
              </c:pt>
              <c:pt idx="169">
                <c:v>0.87861866707831027</c:v>
              </c:pt>
              <c:pt idx="170">
                <c:v>0.91672356353372564</c:v>
              </c:pt>
              <c:pt idx="171">
                <c:v>0.95476473421129526</c:v>
              </c:pt>
              <c:pt idx="172">
                <c:v>0.99274336665703622</c:v>
              </c:pt>
              <c:pt idx="173">
                <c:v>1.0306606326371934</c:v>
              </c:pt>
              <c:pt idx="174">
                <c:v>1.0685176885056791</c:v>
              </c:pt>
              <c:pt idx="175">
                <c:v>1.106315675561925</c:v>
              </c:pt>
              <c:pt idx="176">
                <c:v>1.144055720399475</c:v>
              </c:pt>
              <c:pt idx="177">
                <c:v>1.1817389352456171</c:v>
              </c:pt>
              <c:pt idx="178">
                <c:v>1.219366418292303</c:v>
              </c:pt>
              <c:pt idx="179">
                <c:v>1.2569392540187501</c:v>
              </c:pt>
              <c:pt idx="180">
                <c:v>1.2944585135058393</c:v>
              </c:pt>
              <c:pt idx="181">
                <c:v>1.3319252547427336</c:v>
              </c:pt>
              <c:pt idx="182">
                <c:v>1.3693405229258264</c:v>
              </c:pt>
              <c:pt idx="183">
                <c:v>1.4067053507503893</c:v>
              </c:pt>
              <c:pt idx="184">
                <c:v>1.4440207586950287</c:v>
              </c:pt>
              <c:pt idx="185">
                <c:v>1.4812877552992969</c:v>
              </c:pt>
              <c:pt idx="186">
                <c:v>1.5185073374345706</c:v>
              </c:pt>
              <c:pt idx="187">
                <c:v>1.5556804905684931</c:v>
              </c:pt>
              <c:pt idx="188">
                <c:v>1.5928081890231205</c:v>
              </c:pt>
              <c:pt idx="189">
                <c:v>1.6298913962270003</c:v>
              </c:pt>
              <c:pt idx="190">
                <c:v>1.6669310649613625</c:v>
              </c:pt>
              <c:pt idx="191">
                <c:v>1.7039281376005988</c:v>
              </c:pt>
              <c:pt idx="192">
                <c:v>1.7408835463472201</c:v>
              </c:pt>
              <c:pt idx="193">
                <c:v>1.7777982134614465</c:v>
              </c:pt>
              <c:pt idx="194">
                <c:v>1.8146730514856078</c:v>
              </c:pt>
              <c:pt idx="195">
                <c:v>1.8515089634635125</c:v>
              </c:pt>
              <c:pt idx="196">
                <c:v>1.8883068431549148</c:v>
              </c:pt>
              <c:pt idx="197">
                <c:v>1.9250675752452739</c:v>
              </c:pt>
              <c:pt idx="198">
                <c:v>1.9617920355508947</c:v>
              </c:pt>
              <c:pt idx="199">
                <c:v>1.9984810912196238</c:v>
              </c:pt>
              <c:pt idx="200">
                <c:v>2.0351356009272443</c:v>
              </c:pt>
              <c:pt idx="201">
                <c:v>2.0717564150696663</c:v>
              </c:pt>
              <c:pt idx="202">
                <c:v>2.1083443759510452</c:v>
              </c:pt>
              <c:pt idx="203">
                <c:v>2.1449003179679806</c:v>
              </c:pt>
              <c:pt idx="204">
                <c:v>2.1814250677898723</c:v>
              </c:pt>
              <c:pt idx="205">
                <c:v>2.2179194445355837</c:v>
              </c:pt>
              <c:pt idx="206">
                <c:v>2.2543842599464927</c:v>
              </c:pt>
              <c:pt idx="207">
                <c:v>2.2908203185560581</c:v>
              </c:pt>
              <c:pt idx="208">
                <c:v>2.327228417855995</c:v>
              </c:pt>
              <c:pt idx="209">
                <c:v>2.3636093484591552</c:v>
              </c:pt>
              <c:pt idx="210">
                <c:v>2.3999638942592512</c:v>
              </c:pt>
              <c:pt idx="211">
                <c:v>2.4362928325874211</c:v>
              </c:pt>
              <c:pt idx="212">
                <c:v>2.472596934365864</c:v>
              </c:pt>
              <c:pt idx="213">
                <c:v>2.5088769642585138</c:v>
              </c:pt>
              <c:pt idx="214">
                <c:v>2.5451336808188785</c:v>
              </c:pt>
              <c:pt idx="215">
                <c:v>2.5813678366351951</c:v>
              </c:pt>
              <c:pt idx="216">
                <c:v>2.6175801784728261</c:v>
              </c:pt>
              <c:pt idx="217">
                <c:v>2.6537714474141758</c:v>
              </c:pt>
              <c:pt idx="218">
                <c:v>2.6899423789960419</c:v>
              </c:pt>
              <c:pt idx="219">
                <c:v>2.7260937033445103</c:v>
              </c:pt>
              <c:pt idx="220">
                <c:v>2.7622261453075865</c:v>
              </c:pt>
              <c:pt idx="221">
                <c:v>2.7983404245854135</c:v>
              </c:pt>
              <c:pt idx="222">
                <c:v>2.8344372558583881</c:v>
              </c:pt>
              <c:pt idx="223">
                <c:v>2.8705173489130527</c:v>
              </c:pt>
              <c:pt idx="224">
                <c:v>2.906581408765895</c:v>
              </c:pt>
              <c:pt idx="225">
                <c:v>2.9426301357851798</c:v>
              </c:pt>
              <c:pt idx="226">
                <c:v>2.9786642258107765</c:v>
              </c:pt>
              <c:pt idx="227">
                <c:v>3.0146843702720911</c:v>
              </c:pt>
              <c:pt idx="228">
                <c:v>3.0506912563041411</c:v>
              </c:pt>
              <c:pt idx="229">
                <c:v>3.0866855668618882</c:v>
              </c:pt>
              <c:pt idx="230">
                <c:v>3.1226679808327837</c:v>
              </c:pt>
              <c:pt idx="231">
                <c:v>3.1586391731476784</c:v>
              </c:pt>
              <c:pt idx="232">
                <c:v>3.1945998148900863</c:v>
              </c:pt>
              <c:pt idx="233">
                <c:v>3.2305505734038835</c:v>
              </c:pt>
              <c:pt idx="234">
                <c:v>3.266492112399499</c:v>
              </c:pt>
              <c:pt idx="235">
                <c:v>3.3024250920585914</c:v>
              </c:pt>
              <c:pt idx="236">
                <c:v>3.3383501691373656</c:v>
              </c:pt>
              <c:pt idx="237">
                <c:v>3.3742679970684364</c:v>
              </c:pt>
              <c:pt idx="238">
                <c:v>3.4101792260614374</c:v>
              </c:pt>
              <c:pt idx="239">
                <c:v>3.4460845032022824</c:v>
              </c:pt>
              <c:pt idx="240">
                <c:v>3.4819844725512095</c:v>
              </c:pt>
              <c:pt idx="241">
                <c:v>3.5178797752396527</c:v>
              </c:pt>
              <c:pt idx="242">
                <c:v>3.5537710495658921</c:v>
              </c:pt>
              <c:pt idx="243">
                <c:v>3.5896589310896552</c:v>
              </c:pt>
              <c:pt idx="244">
                <c:v>3.6255440527256031</c:v>
              </c:pt>
              <c:pt idx="245">
                <c:v>3.6614270448358077</c:v>
              </c:pt>
              <c:pt idx="246">
                <c:v>3.6973085353212056</c:v>
              </c:pt>
              <c:pt idx="247">
                <c:v>3.733189149712107</c:v>
              </c:pt>
              <c:pt idx="248">
                <c:v>3.7690695112578183</c:v>
              </c:pt>
              <c:pt idx="249">
                <c:v>3.8049502410153124</c:v>
              </c:pt>
              <c:pt idx="250">
                <c:v>3.8408319579371248</c:v>
              </c:pt>
              <c:pt idx="251">
                <c:v>3.8767152789583861</c:v>
              </c:pt>
              <c:pt idx="252">
                <c:v>3.9126008190831136</c:v>
              </c:pt>
              <c:pt idx="253">
                <c:v>3.9484891914697631</c:v>
              </c:pt>
              <c:pt idx="254">
                <c:v>3.9843810075160313</c:v>
              </c:pt>
              <c:pt idx="255">
                <c:v>4.0202768769430506</c:v>
              </c:pt>
              <c:pt idx="256">
                <c:v>4.0561774078788915</c:v>
              </c:pt>
              <c:pt idx="257">
                <c:v>4.0920832069415098</c:v>
              </c:pt>
              <c:pt idx="258">
                <c:v>4.1279948793210615</c:v>
              </c:pt>
              <c:pt idx="259">
                <c:v>4.163913028861737</c:v>
              </c:pt>
              <c:pt idx="260">
                <c:v>4.1998382581430427</c:v>
              </c:pt>
              <c:pt idx="261">
                <c:v>4.2357711685606318</c:v>
              </c:pt>
              <c:pt idx="262">
                <c:v>4.2717123604066725</c:v>
              </c:pt>
              <c:pt idx="263">
                <c:v>4.307662432949817</c:v>
              </c:pt>
              <c:pt idx="264">
                <c:v>4.3436219845147743</c:v>
              </c:pt>
              <c:pt idx="265">
                <c:v>4.3795916125615353</c:v>
              </c:pt>
              <c:pt idx="266">
                <c:v>4.415571913764273</c:v>
              </c:pt>
              <c:pt idx="267">
                <c:v>4.4515634840899523</c:v>
              </c:pt>
              <c:pt idx="268">
                <c:v>4.4875669188766647</c:v>
              </c:pt>
              <c:pt idx="269">
                <c:v>4.5235828129117621</c:v>
              </c:pt>
              <c:pt idx="270">
                <c:v>4.5596117605097515</c:v>
              </c:pt>
              <c:pt idx="271">
                <c:v>4.595654355590014</c:v>
              </c:pt>
              <c:pt idx="272">
                <c:v>4.6317111917544409</c:v>
              </c:pt>
              <c:pt idx="273">
                <c:v>4.6677828623648612</c:v>
              </c:pt>
              <c:pt idx="274">
                <c:v>4.7038699606204659</c:v>
              </c:pt>
              <c:pt idx="275">
                <c:v>4.739973079635142</c:v>
              </c:pt>
              <c:pt idx="276">
                <c:v>4.7760928125147721</c:v>
              </c:pt>
              <c:pt idx="277">
                <c:v>4.8122297524345665</c:v>
              </c:pt>
              <c:pt idx="278">
                <c:v>4.8483844927163986</c:v>
              </c:pt>
              <c:pt idx="279">
                <c:v>4.8845576269062345</c:v>
              </c:pt>
              <c:pt idx="280">
                <c:v>4.9207497488516374</c:v>
              </c:pt>
              <c:pt idx="281">
                <c:v>4.9569614527793942</c:v>
              </c:pt>
              <c:pt idx="282">
                <c:v>4.9931933333733074</c:v>
              </c:pt>
              <c:pt idx="283">
                <c:v>5.0294459858521847</c:v>
              </c:pt>
              <c:pt idx="284">
                <c:v>5.0657200060479965</c:v>
              </c:pt>
              <c:pt idx="285">
                <c:v>5.1020159904843423</c:v>
              </c:pt>
              <c:pt idx="286">
                <c:v>5.1383345364551545</c:v>
              </c:pt>
              <c:pt idx="287">
                <c:v>5.1746762421037094</c:v>
              </c:pt>
              <c:pt idx="288">
                <c:v>5.2110417065020274</c:v>
              </c:pt>
              <c:pt idx="289">
                <c:v>5.2474315297305907</c:v>
              </c:pt>
              <c:pt idx="290">
                <c:v>5.283846312958496</c:v>
              </c:pt>
              <c:pt idx="291">
                <c:v>5.3202866585240516</c:v>
              </c:pt>
              <c:pt idx="292">
                <c:v>5.3567531700158364</c:v>
              </c:pt>
              <c:pt idx="293">
                <c:v>5.3932464523542789</c:v>
              </c:pt>
              <c:pt idx="294">
                <c:v>5.4297671118737654</c:v>
              </c:pt>
              <c:pt idx="295">
                <c:v>5.4663157564053364</c:v>
              </c:pt>
              <c:pt idx="296">
                <c:v>5.5028929953600008</c:v>
              </c:pt>
              <c:pt idx="297">
                <c:v>5.5394994398126851</c:v>
              </c:pt>
              <c:pt idx="298">
                <c:v>5.5761357025868881</c:v>
              </c:pt>
              <c:pt idx="299">
                <c:v>5.6128023983400492</c:v>
              </c:pt>
              <c:pt idx="300">
                <c:v>5.6495001436496786</c:v>
              </c:pt>
              <c:pt idx="301">
                <c:v>5.6862295571003134</c:v>
              </c:pt>
              <c:pt idx="302">
                <c:v>5.7229912593712706</c:v>
              </c:pt>
              <c:pt idx="303">
                <c:v>5.7597858733253506</c:v>
              </c:pt>
              <c:pt idx="304">
                <c:v>5.7966140240983943</c:v>
              </c:pt>
              <c:pt idx="305">
                <c:v>5.8334763391898665</c:v>
              </c:pt>
              <c:pt idx="306">
                <c:v>5.8703734485544228</c:v>
              </c:pt>
              <c:pt idx="307">
                <c:v>5.907305984694549</c:v>
              </c:pt>
              <c:pt idx="308">
                <c:v>5.944274582754284</c:v>
              </c:pt>
              <c:pt idx="309">
                <c:v>5.9812798806141139</c:v>
              </c:pt>
              <c:pt idx="310">
                <c:v>6.0183225189870599</c:v>
              </c:pt>
              <c:pt idx="311">
                <c:v>6.055403141516015</c:v>
              </c:pt>
              <c:pt idx="312">
                <c:v>6.0925223948723612</c:v>
              </c:pt>
              <c:pt idx="313">
                <c:v>6.1296809288559757</c:v>
              </c:pt>
              <c:pt idx="314">
                <c:v>6.1668793964966051</c:v>
              </c:pt>
              <c:pt idx="315">
                <c:v>6.2041184541567311</c:v>
              </c:pt>
              <c:pt idx="316">
                <c:v>6.2413987616359368</c:v>
              </c:pt>
              <c:pt idx="317">
                <c:v>6.2787209822768464</c:v>
              </c:pt>
              <c:pt idx="318">
                <c:v>6.31608578307271</c:v>
              </c:pt>
              <c:pt idx="319">
                <c:v>6.3534938347767005</c:v>
              </c:pt>
              <c:pt idx="320">
                <c:v>6.3909458120129319</c:v>
              </c:pt>
              <c:pt idx="321">
                <c:v>6.4284423933893571</c:v>
              </c:pt>
              <c:pt idx="322">
                <c:v>6.4659842616125154</c:v>
              </c:pt>
              <c:pt idx="323">
                <c:v>6.5035721036042959</c:v>
              </c:pt>
              <c:pt idx="324">
                <c:v>6.541206610620689</c:v>
              </c:pt>
              <c:pt idx="325">
                <c:v>6.5788884783726926</c:v>
              </c:pt>
              <c:pt idx="326">
                <c:v>6.6166184071494012</c:v>
              </c:pt>
              <c:pt idx="327">
                <c:v>6.654397101943343</c:v>
              </c:pt>
              <c:pt idx="328">
                <c:v>6.6922252725782174</c:v>
              </c:pt>
              <c:pt idx="329">
                <c:v>6.7301036338390379</c:v>
              </c:pt>
              <c:pt idx="330">
                <c:v>6.7680329056048087</c:v>
              </c:pt>
              <c:pt idx="331">
                <c:v>6.8060138129838483</c:v>
              </c:pt>
              <c:pt idx="332">
                <c:v>6.8440470864518126</c:v>
              </c:pt>
              <c:pt idx="333">
                <c:v>6.8821334619925221</c:v>
              </c:pt>
              <c:pt idx="334">
                <c:v>6.9202736812417465</c:v>
              </c:pt>
              <c:pt idx="335">
                <c:v>6.9584684916339725</c:v>
              </c:pt>
              <c:pt idx="336">
                <c:v>6.9967186465523454</c:v>
              </c:pt>
              <c:pt idx="337">
                <c:v>7.0350249054818299</c:v>
              </c:pt>
              <c:pt idx="338">
                <c:v>7.0733880341657693</c:v>
              </c:pt>
              <c:pt idx="339">
                <c:v>7.1118088047659134</c:v>
              </c:pt>
              <c:pt idx="340">
                <c:v>7.1502879960260923</c:v>
              </c:pt>
              <c:pt idx="341">
                <c:v>7.1888263934396361</c:v>
              </c:pt>
              <c:pt idx="342">
                <c:v>7.2274247894206791</c:v>
              </c:pt>
              <c:pt idx="343">
                <c:v>7.2660839834795325</c:v>
              </c:pt>
              <c:pt idx="344">
                <c:v>7.3048047824022246</c:v>
              </c:pt>
              <c:pt idx="345">
                <c:v>7.3435880004344005</c:v>
              </c:pt>
              <c:pt idx="346">
                <c:v>7.382434459469736</c:v>
              </c:pt>
              <c:pt idx="347">
                <c:v>7.421344989243039</c:v>
              </c:pt>
              <c:pt idx="348">
                <c:v>7.4603204275281971</c:v>
              </c:pt>
              <c:pt idx="349">
                <c:v>7.4993616203411957</c:v>
              </c:pt>
              <c:pt idx="350">
                <c:v>7.5384694221483581</c:v>
              </c:pt>
              <c:pt idx="351">
                <c:v>7.5776446960800543</c:v>
              </c:pt>
              <c:pt idx="352">
                <c:v>7.6168883141500334</c:v>
              </c:pt>
              <c:pt idx="353">
                <c:v>7.6562011574806679</c:v>
              </c:pt>
              <c:pt idx="354">
                <c:v>7.6955841165342944</c:v>
              </c:pt>
              <c:pt idx="355">
                <c:v>7.7350380913508969</c:v>
              </c:pt>
              <c:pt idx="356">
                <c:v>7.7745639917924025</c:v>
              </c:pt>
              <c:pt idx="357">
                <c:v>7.8141627377938683</c:v>
              </c:pt>
              <c:pt idx="358">
                <c:v>7.8538352596217749</c:v>
              </c:pt>
              <c:pt idx="359">
                <c:v>7.8935824981397822</c:v>
              </c:pt>
              <c:pt idx="360">
                <c:v>7.9334054050822527</c:v>
              </c:pt>
              <c:pt idx="361">
                <c:v>7.9733049433357976</c:v>
              </c:pt>
              <c:pt idx="362">
                <c:v>8.0132820872292427</c:v>
              </c:pt>
              <c:pt idx="363">
                <c:v>8.0533378228323595</c:v>
              </c:pt>
              <c:pt idx="364">
                <c:v>8.0934731482637048</c:v>
              </c:pt>
              <c:pt idx="365">
                <c:v>8.1336890740079859</c:v>
              </c:pt>
              <c:pt idx="366">
                <c:v>8.1739866232433336</c:v>
              </c:pt>
              <c:pt idx="367">
                <c:v>8.2143668321789498</c:v>
              </c:pt>
              <c:pt idx="368">
                <c:v>8.2548307504035527</c:v>
              </c:pt>
              <c:pt idx="369">
                <c:v>8.2953794412451085</c:v>
              </c:pt>
              <c:pt idx="370">
                <c:v>8.3360139821423491</c:v>
              </c:pt>
              <c:pt idx="371">
                <c:v>8.3767354650286237</c:v>
              </c:pt>
              <c:pt idx="372">
                <c:v>8.417544996728612</c:v>
              </c:pt>
              <c:pt idx="373">
                <c:v>8.4584436993685195</c:v>
              </c:pt>
              <c:pt idx="374">
                <c:v>8.4994327108003631</c:v>
              </c:pt>
              <c:pt idx="375">
                <c:v>8.5405131850410161</c:v>
              </c:pt>
              <c:pt idx="376">
                <c:v>8.5816862927266904</c:v>
              </c:pt>
              <c:pt idx="377">
                <c:v>8.6229532215836215</c:v>
              </c:pt>
              <c:pt idx="378">
                <c:v>8.6643151769157178</c:v>
              </c:pt>
              <c:pt idx="379">
                <c:v>8.7057733821099994</c:v>
              </c:pt>
              <c:pt idx="380">
                <c:v>8.7473290791607212</c:v>
              </c:pt>
              <c:pt idx="381">
                <c:v>8.7889835292130893</c:v>
              </c:pt>
              <c:pt idx="382">
                <c:v>8.830738013127565</c:v>
              </c:pt>
              <c:pt idx="383">
                <c:v>8.8725938320658315</c:v>
              </c:pt>
              <c:pt idx="384">
                <c:v>8.91455230809947</c:v>
              </c:pt>
              <c:pt idx="385">
                <c:v>8.9566147848426123</c:v>
              </c:pt>
              <c:pt idx="386">
                <c:v>8.9987826281097814</c:v>
              </c:pt>
              <c:pt idx="387">
                <c:v>9.0410572266002642</c:v>
              </c:pt>
              <c:pt idx="388">
                <c:v>9.0834399926104723</c:v>
              </c:pt>
              <c:pt idx="389">
                <c:v>9.1259323627758242</c:v>
              </c:pt>
              <c:pt idx="390">
                <c:v>9.1685357988437328</c:v>
              </c:pt>
              <c:pt idx="391">
                <c:v>9.2112517884795011</c:v>
              </c:pt>
              <c:pt idx="392">
                <c:v>9.2540818461069669</c:v>
              </c:pt>
              <c:pt idx="393">
                <c:v>9.2970275137859151</c:v>
              </c:pt>
              <c:pt idx="394">
                <c:v>9.3400903621283202</c:v>
              </c:pt>
              <c:pt idx="395">
                <c:v>9.3832719912558744</c:v>
              </c:pt>
              <c:pt idx="396">
                <c:v>9.4265740318010867</c:v>
              </c:pt>
              <c:pt idx="397">
                <c:v>9.4699981459547367</c:v>
              </c:pt>
              <c:pt idx="398">
                <c:v>9.5135460285624873</c:v>
              </c:pt>
              <c:pt idx="399">
                <c:v>9.5572194082736939</c:v>
              </c:pt>
              <c:pt idx="400">
                <c:v>9.6010200487458004</c:v>
              </c:pt>
              <c:pt idx="401">
                <c:v>9.6449497499078305</c:v>
              </c:pt>
              <c:pt idx="402">
                <c:v>9.6890103492868356</c:v>
              </c:pt>
              <c:pt idx="403">
                <c:v>9.733203723401525</c:v>
              </c:pt>
              <c:pt idx="404">
                <c:v>9.7775317892275684</c:v>
              </c:pt>
              <c:pt idx="405">
                <c:v>9.8219965057394525</c:v>
              </c:pt>
              <c:pt idx="406">
                <c:v>9.8665998755342734</c:v>
              </c:pt>
              <c:pt idx="407">
                <c:v>9.9113439465432052</c:v>
              </c:pt>
              <c:pt idx="408">
                <c:v>9.9562308138369726</c:v>
              </c:pt>
              <c:pt idx="409">
                <c:v>10.001262621532193</c:v>
              </c:pt>
              <c:pt idx="410">
                <c:v>10.046441564806084</c:v>
              </c:pt>
              <c:pt idx="411">
                <c:v>10.091769892027767</c:v>
              </c:pt>
              <c:pt idx="412">
                <c:v>10.137249907015097</c:v>
              </c:pt>
              <c:pt idx="413">
                <c:v>10.182883971426955</c:v>
              </c:pt>
              <c:pt idx="414">
                <c:v>10.228674507301731</c:v>
              </c:pt>
              <c:pt idx="415">
                <c:v>10.274623999754017</c:v>
              </c:pt>
              <c:pt idx="416">
                <c:v>10.320734999842575</c:v>
              </c:pt>
              <c:pt idx="417">
                <c:v>10.367010127624146</c:v>
              </c:pt>
              <c:pt idx="418">
                <c:v>10.413452075409158</c:v>
              </c:pt>
              <c:pt idx="419">
                <c:v>10.460063611237127</c:v>
              </c:pt>
              <c:pt idx="420">
                <c:v>10.506847582591623</c:v>
              </c:pt>
              <c:pt idx="421">
                <c:v>10.553806920376822</c:v>
              </c:pt>
              <c:pt idx="422">
                <c:v>10.600944643180267</c:v>
              </c:pt>
              <c:pt idx="423">
                <c:v>10.648263861849472</c:v>
              </c:pt>
              <c:pt idx="424">
                <c:v>10.695767784413231</c:v>
              </c:pt>
              <c:pt idx="425">
                <c:v>10.743459721382461</c:v>
              </c:pt>
              <c:pt idx="426">
                <c:v>10.791343091469802</c:v>
              </c:pt>
              <c:pt idx="427">
                <c:v>10.839421427772354</c:v>
              </c:pt>
              <c:pt idx="428">
                <c:v>10.887698384467905</c:v>
              </c:pt>
              <c:pt idx="429">
                <c:v>10.936177744081938</c:v>
              </c:pt>
              <c:pt idx="430">
                <c:v>10.984863425390822</c:v>
              </c:pt>
              <c:pt idx="431">
                <c:v>11.033759492036159</c:v>
              </c:pt>
              <c:pt idx="432">
                <c:v>11.082870161936404</c:v>
              </c:pt>
              <c:pt idx="433">
                <c:v>11.132199817595332</c:v>
              </c:pt>
              <c:pt idx="434">
                <c:v>11.181753017422515</c:v>
              </c:pt>
              <c:pt idx="435">
                <c:v>11.231534508200106</c:v>
              </c:pt>
              <c:pt idx="436">
                <c:v>11.281549238852747</c:v>
              </c:pt>
              <c:pt idx="437">
                <c:v>11.331802375705026</c:v>
              </c:pt>
              <c:pt idx="438">
                <c:v>11.382299319444108</c:v>
              </c:pt>
              <c:pt idx="439">
                <c:v>11.433045724046128</c:v>
              </c:pt>
              <c:pt idx="440">
                <c:v>11.484047517974993</c:v>
              </c:pt>
              <c:pt idx="441">
                <c:v>11.535310928024719</c:v>
              </c:pt>
              <c:pt idx="442">
                <c:v>11.586842506254191</c:v>
              </c:pt>
              <c:pt idx="443">
                <c:v>11.638649160561318</c:v>
              </c:pt>
              <c:pt idx="444">
                <c:v>11.690738189568393</c:v>
              </c:pt>
              <c:pt idx="445">
                <c:v>11.743117322650416</c:v>
              </c:pt>
              <c:pt idx="446">
                <c:v>11.795794766145772</c:v>
              </c:pt>
              <c:pt idx="447">
                <c:v>11.848779257060741</c:v>
              </c:pt>
              <c:pt idx="448">
                <c:v>11.902080125940762</c:v>
              </c:pt>
              <c:pt idx="449">
                <c:v>11.955707371067099</c:v>
              </c:pt>
              <c:pt idx="450">
                <c:v>12.009671746801228</c:v>
              </c:pt>
              <c:pt idx="451">
                <c:v>12.063984869819279</c:v>
              </c:pt>
              <c:pt idx="452">
                <c:v>12.118659348278626</c:v>
              </c:pt>
              <c:pt idx="453">
                <c:v>12.173708940831018</c:v>
              </c:pt>
              <c:pt idx="454">
                <c:v>12.229148755155023</c:v>
              </c:pt>
              <c:pt idx="455">
                <c:v>12.284995499848447</c:v>
              </c:pt>
              <c:pt idx="456">
                <c:v>12.341267810002657</c:v>
              </c:pt>
              <c:pt idx="457">
                <c:v>12.397986677198992</c:v>
              </c:pt>
              <c:pt idx="458">
                <c:v>12.455176032071526</c:v>
              </c:pt>
              <c:pt idx="459">
                <c:v>12.512863558005009</c:v>
              </c:pt>
              <c:pt idx="460">
                <c:v>12.571081870694117</c:v>
              </c:pt>
              <c:pt idx="461">
                <c:v>12.629870309066046</c:v>
              </c:pt>
              <c:pt idx="462">
                <c:v>12.689277820564381</c:v>
              </c:pt>
              <c:pt idx="463">
                <c:v>12.749367991085091</c:v>
              </c:pt>
              <c:pt idx="464">
                <c:v>12.81022884001324</c:v>
              </c:pt>
              <c:pt idx="465">
                <c:v>12.871995400686899</c:v>
              </c:pt>
              <c:pt idx="466">
                <c:v>12.934920049562836</c:v>
              </c:pt>
              <c:pt idx="467">
                <c:v>13</c:v>
              </c:pt>
              <c:pt idx="468">
                <c:v>#N/A</c:v>
              </c:pt>
              <c:pt idx="469">
                <c:v>#N/A</c:v>
              </c:pt>
              <c:pt idx="470">
                <c:v>#N/A</c:v>
              </c:pt>
              <c:pt idx="471">
                <c:v>#N/A</c:v>
              </c:pt>
              <c:pt idx="472">
                <c:v>#N/A</c:v>
              </c:pt>
              <c:pt idx="473">
                <c:v>#N/A</c:v>
              </c:pt>
              <c:pt idx="474">
                <c:v>#N/A</c:v>
              </c:pt>
              <c:pt idx="475">
                <c:v>#N/A</c:v>
              </c:pt>
              <c:pt idx="476">
                <c:v>#N/A</c:v>
              </c:pt>
              <c:pt idx="477">
                <c:v>#N/A</c:v>
              </c:pt>
              <c:pt idx="478">
                <c:v>#N/A</c:v>
              </c:pt>
              <c:pt idx="479">
                <c:v>#N/A</c:v>
              </c:pt>
              <c:pt idx="480">
                <c:v>#N/A</c:v>
              </c:pt>
              <c:pt idx="481">
                <c:v>#N/A</c:v>
              </c:pt>
              <c:pt idx="482">
                <c:v>#N/A</c:v>
              </c:pt>
              <c:pt idx="483">
                <c:v>#N/A</c:v>
              </c:pt>
              <c:pt idx="484">
                <c:v>#N/A</c:v>
              </c:pt>
              <c:pt idx="485">
                <c:v>#N/A</c:v>
              </c:pt>
              <c:pt idx="486">
                <c:v>#N/A</c:v>
              </c:pt>
              <c:pt idx="487">
                <c:v>#N/A</c:v>
              </c:pt>
              <c:pt idx="488">
                <c:v>#N/A</c:v>
              </c:pt>
              <c:pt idx="489">
                <c:v>#N/A</c:v>
              </c:pt>
              <c:pt idx="490">
                <c:v>#N/A</c:v>
              </c:pt>
              <c:pt idx="491">
                <c:v>#N/A</c:v>
              </c:pt>
              <c:pt idx="492">
                <c:v>#N/A</c:v>
              </c:pt>
              <c:pt idx="493">
                <c:v>#N/A</c:v>
              </c:pt>
              <c:pt idx="494">
                <c:v>#N/A</c:v>
              </c:pt>
              <c:pt idx="495">
                <c:v>#N/A</c:v>
              </c:pt>
              <c:pt idx="496">
                <c:v>#N/A</c:v>
              </c:pt>
              <c:pt idx="497">
                <c:v>#N/A</c:v>
              </c:pt>
              <c:pt idx="498">
                <c:v>#N/A</c:v>
              </c:pt>
              <c:pt idx="499">
                <c:v>#N/A</c:v>
              </c:pt>
              <c:pt idx="500">
                <c:v>#N/A</c:v>
              </c:pt>
              <c:pt idx="501">
                <c:v>#N/A</c:v>
              </c:pt>
              <c:pt idx="502">
                <c:v>#N/A</c:v>
              </c:pt>
              <c:pt idx="503">
                <c:v>#N/A</c:v>
              </c:pt>
              <c:pt idx="504">
                <c:v>#N/A</c:v>
              </c:pt>
              <c:pt idx="505">
                <c:v>#N/A</c:v>
              </c:pt>
              <c:pt idx="506">
                <c:v>#N/A</c:v>
              </c:pt>
              <c:pt idx="507">
                <c:v>#N/A</c:v>
              </c:pt>
              <c:pt idx="508">
                <c:v>#N/A</c:v>
              </c:pt>
              <c:pt idx="509">
                <c:v>#N/A</c:v>
              </c:pt>
              <c:pt idx="510">
                <c:v>#N/A</c:v>
              </c:pt>
              <c:pt idx="511">
                <c:v>#N/A</c:v>
              </c:pt>
              <c:pt idx="512">
                <c:v>#N/A</c:v>
              </c:pt>
              <c:pt idx="513">
                <c:v>#N/A</c:v>
              </c:pt>
              <c:pt idx="514">
                <c:v>#N/A</c:v>
              </c:pt>
              <c:pt idx="515">
                <c:v>#N/A</c:v>
              </c:pt>
              <c:pt idx="516">
                <c:v>#N/A</c:v>
              </c:pt>
              <c:pt idx="517">
                <c:v>#N/A</c:v>
              </c:pt>
              <c:pt idx="518">
                <c:v>#N/A</c:v>
              </c:pt>
              <c:pt idx="519">
                <c:v>#N/A</c:v>
              </c:pt>
              <c:pt idx="520">
                <c:v>#N/A</c:v>
              </c:pt>
              <c:pt idx="521">
                <c:v>#N/A</c:v>
              </c:pt>
              <c:pt idx="522">
                <c:v>#N/A</c:v>
              </c:pt>
              <c:pt idx="523">
                <c:v>#N/A</c:v>
              </c:pt>
              <c:pt idx="524">
                <c:v>#N/A</c:v>
              </c:pt>
              <c:pt idx="525">
                <c:v>#N/A</c:v>
              </c:pt>
              <c:pt idx="526">
                <c:v>#N/A</c:v>
              </c:pt>
              <c:pt idx="527">
                <c:v>#N/A</c:v>
              </c:pt>
              <c:pt idx="528">
                <c:v>#N/A</c:v>
              </c:pt>
              <c:pt idx="529">
                <c:v>#N/A</c:v>
              </c:pt>
              <c:pt idx="530">
                <c:v>#N/A</c:v>
              </c:pt>
              <c:pt idx="531">
                <c:v>#N/A</c:v>
              </c:pt>
              <c:pt idx="532">
                <c:v>#N/A</c:v>
              </c:pt>
              <c:pt idx="533">
                <c:v>#N/A</c:v>
              </c:pt>
              <c:pt idx="534">
                <c:v>#N/A</c:v>
              </c:pt>
              <c:pt idx="535">
                <c:v>#N/A</c:v>
              </c:pt>
              <c:pt idx="536">
                <c:v>#N/A</c:v>
              </c:pt>
              <c:pt idx="537">
                <c:v>#N/A</c:v>
              </c:pt>
              <c:pt idx="538">
                <c:v>#N/A</c:v>
              </c:pt>
              <c:pt idx="539">
                <c:v>#N/A</c:v>
              </c:pt>
              <c:pt idx="540">
                <c:v>#N/A</c:v>
              </c:pt>
              <c:pt idx="541">
                <c:v>#N/A</c:v>
              </c:pt>
              <c:pt idx="542">
                <c:v>#N/A</c:v>
              </c:pt>
              <c:pt idx="543">
                <c:v>#N/A</c:v>
              </c:pt>
              <c:pt idx="544">
                <c:v>#N/A</c:v>
              </c:pt>
              <c:pt idx="545">
                <c:v>#N/A</c:v>
              </c:pt>
              <c:pt idx="546">
                <c:v>#N/A</c:v>
              </c:pt>
              <c:pt idx="547">
                <c:v>#N/A</c:v>
              </c:pt>
              <c:pt idx="548">
                <c:v>#N/A</c:v>
              </c:pt>
              <c:pt idx="549">
                <c:v>#N/A</c:v>
              </c:pt>
              <c:pt idx="550">
                <c:v>#N/A</c:v>
              </c:pt>
              <c:pt idx="551">
                <c:v>#N/A</c:v>
              </c:pt>
              <c:pt idx="552">
                <c:v>#N/A</c:v>
              </c:pt>
              <c:pt idx="553">
                <c:v>#N/A</c:v>
              </c:pt>
              <c:pt idx="554">
                <c:v>#N/A</c:v>
              </c:pt>
              <c:pt idx="555">
                <c:v>#N/A</c:v>
              </c:pt>
              <c:pt idx="556">
                <c:v>#N/A</c:v>
              </c:pt>
              <c:pt idx="557">
                <c:v>#N/A</c:v>
              </c:pt>
              <c:pt idx="558">
                <c:v>#N/A</c:v>
              </c:pt>
              <c:pt idx="559">
                <c:v>#N/A</c:v>
              </c:pt>
              <c:pt idx="560">
                <c:v>#N/A</c:v>
              </c:pt>
              <c:pt idx="561">
                <c:v>#N/A</c:v>
              </c:pt>
              <c:pt idx="562">
                <c:v>#N/A</c:v>
              </c:pt>
              <c:pt idx="563">
                <c:v>#N/A</c:v>
              </c:pt>
              <c:pt idx="564">
                <c:v>#N/A</c:v>
              </c:pt>
              <c:pt idx="565">
                <c:v>#N/A</c:v>
              </c:pt>
              <c:pt idx="566">
                <c:v>#N/A</c:v>
              </c:pt>
              <c:pt idx="567">
                <c:v>#N/A</c:v>
              </c:pt>
              <c:pt idx="568">
                <c:v>#N/A</c:v>
              </c:pt>
              <c:pt idx="569">
                <c:v>#N/A</c:v>
              </c:pt>
              <c:pt idx="570">
                <c:v>#N/A</c:v>
              </c:pt>
              <c:pt idx="571">
                <c:v>#N/A</c:v>
              </c:pt>
              <c:pt idx="572">
                <c:v>#N/A</c:v>
              </c:pt>
              <c:pt idx="573">
                <c:v>#N/A</c:v>
              </c:pt>
              <c:pt idx="574">
                <c:v>#N/A</c:v>
              </c:pt>
              <c:pt idx="575">
                <c:v>#N/A</c:v>
              </c:pt>
              <c:pt idx="576">
                <c:v>#N/A</c:v>
              </c:pt>
              <c:pt idx="577">
                <c:v>#N/A</c:v>
              </c:pt>
              <c:pt idx="578">
                <c:v>#N/A</c:v>
              </c:pt>
              <c:pt idx="579">
                <c:v>#N/A</c:v>
              </c:pt>
              <c:pt idx="580">
                <c:v>#N/A</c:v>
              </c:pt>
              <c:pt idx="581">
                <c:v>#N/A</c:v>
              </c:pt>
              <c:pt idx="582">
                <c:v>#N/A</c:v>
              </c:pt>
              <c:pt idx="583">
                <c:v>#N/A</c:v>
              </c:pt>
              <c:pt idx="584">
                <c:v>#N/A</c:v>
              </c:pt>
              <c:pt idx="585">
                <c:v>#N/A</c:v>
              </c:pt>
              <c:pt idx="586">
                <c:v>#N/A</c:v>
              </c:pt>
              <c:pt idx="587">
                <c:v>#N/A</c:v>
              </c:pt>
              <c:pt idx="588">
                <c:v>#N/A</c:v>
              </c:pt>
              <c:pt idx="589">
                <c:v>#N/A</c:v>
              </c:pt>
              <c:pt idx="590">
                <c:v>#N/A</c:v>
              </c:pt>
              <c:pt idx="591">
                <c:v>#N/A</c:v>
              </c:pt>
              <c:pt idx="592">
                <c:v>#N/A</c:v>
              </c:pt>
              <c:pt idx="593">
                <c:v>#N/A</c:v>
              </c:pt>
              <c:pt idx="594">
                <c:v>#N/A</c:v>
              </c:pt>
              <c:pt idx="595">
                <c:v>#N/A</c:v>
              </c:pt>
              <c:pt idx="596">
                <c:v>#N/A</c:v>
              </c:pt>
              <c:pt idx="597">
                <c:v>#N/A</c:v>
              </c:pt>
              <c:pt idx="598">
                <c:v>#N/A</c:v>
              </c:pt>
              <c:pt idx="599">
                <c:v>#N/A</c:v>
              </c:pt>
            </c:numLit>
          </c:xVal>
          <c:yVal>
            <c:numLit>
              <c:formatCode>General</c:formatCode>
              <c:ptCount val="600"/>
              <c:pt idx="0">
                <c:v>0.5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  <c:pt idx="8">
                <c:v>4.5</c:v>
              </c:pt>
              <c:pt idx="9">
                <c:v>5</c:v>
              </c:pt>
              <c:pt idx="10">
                <c:v>5.5</c:v>
              </c:pt>
              <c:pt idx="11">
                <c:v>6</c:v>
              </c:pt>
              <c:pt idx="12">
                <c:v>6.5</c:v>
              </c:pt>
              <c:pt idx="13">
                <c:v>7</c:v>
              </c:pt>
              <c:pt idx="14">
                <c:v>7.5</c:v>
              </c:pt>
              <c:pt idx="15">
                <c:v>8</c:v>
              </c:pt>
              <c:pt idx="16">
                <c:v>8.5</c:v>
              </c:pt>
              <c:pt idx="17">
                <c:v>9</c:v>
              </c:pt>
              <c:pt idx="18">
                <c:v>9.5</c:v>
              </c:pt>
              <c:pt idx="19">
                <c:v>10</c:v>
              </c:pt>
              <c:pt idx="20">
                <c:v>10.5</c:v>
              </c:pt>
              <c:pt idx="21">
                <c:v>11</c:v>
              </c:pt>
              <c:pt idx="22">
                <c:v>11.5</c:v>
              </c:pt>
              <c:pt idx="23">
                <c:v>12</c:v>
              </c:pt>
              <c:pt idx="24">
                <c:v>12.5</c:v>
              </c:pt>
              <c:pt idx="25">
                <c:v>13</c:v>
              </c:pt>
              <c:pt idx="26">
                <c:v>13.5</c:v>
              </c:pt>
              <c:pt idx="27">
                <c:v>14</c:v>
              </c:pt>
              <c:pt idx="28">
                <c:v>14.5</c:v>
              </c:pt>
              <c:pt idx="29">
                <c:v>15</c:v>
              </c:pt>
              <c:pt idx="30">
                <c:v>15.5</c:v>
              </c:pt>
              <c:pt idx="31">
                <c:v>16</c:v>
              </c:pt>
              <c:pt idx="32">
                <c:v>16.5</c:v>
              </c:pt>
              <c:pt idx="33">
                <c:v>17</c:v>
              </c:pt>
              <c:pt idx="34">
                <c:v>17.5</c:v>
              </c:pt>
              <c:pt idx="35">
                <c:v>18</c:v>
              </c:pt>
              <c:pt idx="36">
                <c:v>18.5</c:v>
              </c:pt>
              <c:pt idx="37">
                <c:v>19</c:v>
              </c:pt>
              <c:pt idx="38">
                <c:v>19.5</c:v>
              </c:pt>
              <c:pt idx="39">
                <c:v>20</c:v>
              </c:pt>
              <c:pt idx="40">
                <c:v>20.5</c:v>
              </c:pt>
              <c:pt idx="41">
                <c:v>21</c:v>
              </c:pt>
              <c:pt idx="42">
                <c:v>21.5</c:v>
              </c:pt>
              <c:pt idx="43">
                <c:v>22</c:v>
              </c:pt>
              <c:pt idx="44">
                <c:v>22.5</c:v>
              </c:pt>
              <c:pt idx="45">
                <c:v>23</c:v>
              </c:pt>
              <c:pt idx="46">
                <c:v>23.5</c:v>
              </c:pt>
              <c:pt idx="47">
                <c:v>24</c:v>
              </c:pt>
              <c:pt idx="48">
                <c:v>24.5</c:v>
              </c:pt>
              <c:pt idx="49">
                <c:v>25</c:v>
              </c:pt>
              <c:pt idx="50">
                <c:v>25.5</c:v>
              </c:pt>
              <c:pt idx="51">
                <c:v>26</c:v>
              </c:pt>
              <c:pt idx="52">
                <c:v>26.5</c:v>
              </c:pt>
              <c:pt idx="53">
                <c:v>27</c:v>
              </c:pt>
              <c:pt idx="54">
                <c:v>27.5</c:v>
              </c:pt>
              <c:pt idx="55">
                <c:v>28</c:v>
              </c:pt>
              <c:pt idx="56">
                <c:v>28.5</c:v>
              </c:pt>
              <c:pt idx="57">
                <c:v>29</c:v>
              </c:pt>
              <c:pt idx="58">
                <c:v>29.5</c:v>
              </c:pt>
              <c:pt idx="59">
                <c:v>30</c:v>
              </c:pt>
              <c:pt idx="60">
                <c:v>30.5</c:v>
              </c:pt>
              <c:pt idx="61">
                <c:v>31</c:v>
              </c:pt>
              <c:pt idx="62">
                <c:v>31.5</c:v>
              </c:pt>
              <c:pt idx="63">
                <c:v>32</c:v>
              </c:pt>
              <c:pt idx="64">
                <c:v>32.5</c:v>
              </c:pt>
              <c:pt idx="65">
                <c:v>33</c:v>
              </c:pt>
              <c:pt idx="66">
                <c:v>33.5</c:v>
              </c:pt>
              <c:pt idx="67">
                <c:v>34</c:v>
              </c:pt>
              <c:pt idx="68">
                <c:v>34.5</c:v>
              </c:pt>
              <c:pt idx="69">
                <c:v>35</c:v>
              </c:pt>
              <c:pt idx="70">
                <c:v>35.5</c:v>
              </c:pt>
              <c:pt idx="71">
                <c:v>36</c:v>
              </c:pt>
              <c:pt idx="72">
                <c:v>36.5</c:v>
              </c:pt>
              <c:pt idx="73">
                <c:v>37</c:v>
              </c:pt>
              <c:pt idx="74">
                <c:v>37.5</c:v>
              </c:pt>
              <c:pt idx="75">
                <c:v>38</c:v>
              </c:pt>
              <c:pt idx="76">
                <c:v>38.5</c:v>
              </c:pt>
              <c:pt idx="77">
                <c:v>39</c:v>
              </c:pt>
              <c:pt idx="78">
                <c:v>39.5</c:v>
              </c:pt>
              <c:pt idx="79">
                <c:v>40</c:v>
              </c:pt>
              <c:pt idx="80">
                <c:v>40.5</c:v>
              </c:pt>
              <c:pt idx="81">
                <c:v>41</c:v>
              </c:pt>
              <c:pt idx="82">
                <c:v>41.5</c:v>
              </c:pt>
              <c:pt idx="83">
                <c:v>42</c:v>
              </c:pt>
              <c:pt idx="84">
                <c:v>42.5</c:v>
              </c:pt>
              <c:pt idx="85">
                <c:v>43</c:v>
              </c:pt>
              <c:pt idx="86">
                <c:v>43.5</c:v>
              </c:pt>
              <c:pt idx="87">
                <c:v>44</c:v>
              </c:pt>
              <c:pt idx="88">
                <c:v>44.5</c:v>
              </c:pt>
              <c:pt idx="89">
                <c:v>45</c:v>
              </c:pt>
              <c:pt idx="90">
                <c:v>45.5</c:v>
              </c:pt>
              <c:pt idx="91">
                <c:v>46</c:v>
              </c:pt>
              <c:pt idx="92">
                <c:v>46.5</c:v>
              </c:pt>
              <c:pt idx="93">
                <c:v>47</c:v>
              </c:pt>
              <c:pt idx="94">
                <c:v>47.5</c:v>
              </c:pt>
              <c:pt idx="95">
                <c:v>48</c:v>
              </c:pt>
              <c:pt idx="96">
                <c:v>48.5</c:v>
              </c:pt>
              <c:pt idx="97">
                <c:v>49</c:v>
              </c:pt>
              <c:pt idx="98">
                <c:v>49.5</c:v>
              </c:pt>
              <c:pt idx="99">
                <c:v>50</c:v>
              </c:pt>
              <c:pt idx="100">
                <c:v>50.5</c:v>
              </c:pt>
              <c:pt idx="101">
                <c:v>51</c:v>
              </c:pt>
              <c:pt idx="102">
                <c:v>51.5</c:v>
              </c:pt>
              <c:pt idx="103">
                <c:v>52</c:v>
              </c:pt>
              <c:pt idx="104">
                <c:v>52.5</c:v>
              </c:pt>
              <c:pt idx="105">
                <c:v>53</c:v>
              </c:pt>
              <c:pt idx="106">
                <c:v>53.5</c:v>
              </c:pt>
              <c:pt idx="107">
                <c:v>54</c:v>
              </c:pt>
              <c:pt idx="108">
                <c:v>54.5</c:v>
              </c:pt>
              <c:pt idx="109">
                <c:v>55</c:v>
              </c:pt>
              <c:pt idx="110">
                <c:v>55.5</c:v>
              </c:pt>
              <c:pt idx="111">
                <c:v>56</c:v>
              </c:pt>
              <c:pt idx="112">
                <c:v>56.5</c:v>
              </c:pt>
              <c:pt idx="113">
                <c:v>57</c:v>
              </c:pt>
              <c:pt idx="114">
                <c:v>57.5</c:v>
              </c:pt>
              <c:pt idx="115">
                <c:v>58</c:v>
              </c:pt>
              <c:pt idx="116">
                <c:v>58.5</c:v>
              </c:pt>
              <c:pt idx="117">
                <c:v>59</c:v>
              </c:pt>
              <c:pt idx="118">
                <c:v>59.5</c:v>
              </c:pt>
              <c:pt idx="119">
                <c:v>60</c:v>
              </c:pt>
              <c:pt idx="120">
                <c:v>60.5</c:v>
              </c:pt>
              <c:pt idx="121">
                <c:v>61</c:v>
              </c:pt>
              <c:pt idx="122">
                <c:v>61.5</c:v>
              </c:pt>
              <c:pt idx="123">
                <c:v>62</c:v>
              </c:pt>
              <c:pt idx="124">
                <c:v>62.5</c:v>
              </c:pt>
              <c:pt idx="125">
                <c:v>63</c:v>
              </c:pt>
              <c:pt idx="126">
                <c:v>63.5</c:v>
              </c:pt>
              <c:pt idx="127">
                <c:v>64</c:v>
              </c:pt>
              <c:pt idx="128">
                <c:v>64.5</c:v>
              </c:pt>
              <c:pt idx="129">
                <c:v>65</c:v>
              </c:pt>
              <c:pt idx="130">
                <c:v>65.5</c:v>
              </c:pt>
              <c:pt idx="131">
                <c:v>66</c:v>
              </c:pt>
              <c:pt idx="132">
                <c:v>66.5</c:v>
              </c:pt>
              <c:pt idx="133">
                <c:v>67</c:v>
              </c:pt>
              <c:pt idx="134">
                <c:v>67.5</c:v>
              </c:pt>
              <c:pt idx="135">
                <c:v>68</c:v>
              </c:pt>
              <c:pt idx="136">
                <c:v>68.5</c:v>
              </c:pt>
              <c:pt idx="137">
                <c:v>69</c:v>
              </c:pt>
              <c:pt idx="138">
                <c:v>69.5</c:v>
              </c:pt>
              <c:pt idx="139">
                <c:v>70</c:v>
              </c:pt>
              <c:pt idx="140">
                <c:v>70.5</c:v>
              </c:pt>
              <c:pt idx="141">
                <c:v>71</c:v>
              </c:pt>
              <c:pt idx="142">
                <c:v>71.5</c:v>
              </c:pt>
              <c:pt idx="143">
                <c:v>72</c:v>
              </c:pt>
              <c:pt idx="144">
                <c:v>72.5</c:v>
              </c:pt>
              <c:pt idx="145">
                <c:v>73</c:v>
              </c:pt>
              <c:pt idx="146">
                <c:v>73.5</c:v>
              </c:pt>
              <c:pt idx="147">
                <c:v>74</c:v>
              </c:pt>
              <c:pt idx="148">
                <c:v>74.5</c:v>
              </c:pt>
              <c:pt idx="149">
                <c:v>75</c:v>
              </c:pt>
              <c:pt idx="150">
                <c:v>75.5</c:v>
              </c:pt>
              <c:pt idx="151">
                <c:v>76</c:v>
              </c:pt>
              <c:pt idx="152">
                <c:v>76.5</c:v>
              </c:pt>
              <c:pt idx="153">
                <c:v>77</c:v>
              </c:pt>
              <c:pt idx="154">
                <c:v>77.5</c:v>
              </c:pt>
              <c:pt idx="155">
                <c:v>78</c:v>
              </c:pt>
              <c:pt idx="156">
                <c:v>78.5</c:v>
              </c:pt>
              <c:pt idx="157">
                <c:v>79</c:v>
              </c:pt>
              <c:pt idx="158">
                <c:v>79.5</c:v>
              </c:pt>
              <c:pt idx="159">
                <c:v>80</c:v>
              </c:pt>
              <c:pt idx="160">
                <c:v>80.5</c:v>
              </c:pt>
              <c:pt idx="161">
                <c:v>81</c:v>
              </c:pt>
              <c:pt idx="162">
                <c:v>81.5</c:v>
              </c:pt>
              <c:pt idx="163">
                <c:v>82</c:v>
              </c:pt>
              <c:pt idx="164">
                <c:v>82.5</c:v>
              </c:pt>
              <c:pt idx="165">
                <c:v>83</c:v>
              </c:pt>
              <c:pt idx="166">
                <c:v>83.5</c:v>
              </c:pt>
              <c:pt idx="167">
                <c:v>84</c:v>
              </c:pt>
              <c:pt idx="168">
                <c:v>84.5</c:v>
              </c:pt>
              <c:pt idx="169">
                <c:v>85</c:v>
              </c:pt>
              <c:pt idx="170">
                <c:v>85.5</c:v>
              </c:pt>
              <c:pt idx="171">
                <c:v>86</c:v>
              </c:pt>
              <c:pt idx="172">
                <c:v>86.5</c:v>
              </c:pt>
              <c:pt idx="173">
                <c:v>87</c:v>
              </c:pt>
              <c:pt idx="174">
                <c:v>87.5</c:v>
              </c:pt>
              <c:pt idx="175">
                <c:v>88</c:v>
              </c:pt>
              <c:pt idx="176">
                <c:v>88.5</c:v>
              </c:pt>
              <c:pt idx="177">
                <c:v>89</c:v>
              </c:pt>
              <c:pt idx="178">
                <c:v>89.5</c:v>
              </c:pt>
              <c:pt idx="179">
                <c:v>90</c:v>
              </c:pt>
              <c:pt idx="180">
                <c:v>90.5</c:v>
              </c:pt>
              <c:pt idx="181">
                <c:v>91</c:v>
              </c:pt>
              <c:pt idx="182">
                <c:v>91.5</c:v>
              </c:pt>
              <c:pt idx="183">
                <c:v>92</c:v>
              </c:pt>
              <c:pt idx="184">
                <c:v>92.5</c:v>
              </c:pt>
              <c:pt idx="185">
                <c:v>93</c:v>
              </c:pt>
              <c:pt idx="186">
                <c:v>93.5</c:v>
              </c:pt>
              <c:pt idx="187">
                <c:v>94</c:v>
              </c:pt>
              <c:pt idx="188">
                <c:v>94.5</c:v>
              </c:pt>
              <c:pt idx="189">
                <c:v>95</c:v>
              </c:pt>
              <c:pt idx="190">
                <c:v>95.5</c:v>
              </c:pt>
              <c:pt idx="191">
                <c:v>96</c:v>
              </c:pt>
              <c:pt idx="192">
                <c:v>96.5</c:v>
              </c:pt>
              <c:pt idx="193">
                <c:v>97</c:v>
              </c:pt>
              <c:pt idx="194">
                <c:v>97.5</c:v>
              </c:pt>
              <c:pt idx="195">
                <c:v>98</c:v>
              </c:pt>
              <c:pt idx="196">
                <c:v>98.5</c:v>
              </c:pt>
              <c:pt idx="197">
                <c:v>99</c:v>
              </c:pt>
              <c:pt idx="198">
                <c:v>99.5</c:v>
              </c:pt>
              <c:pt idx="199">
                <c:v>100</c:v>
              </c:pt>
              <c:pt idx="200">
                <c:v>100.5</c:v>
              </c:pt>
              <c:pt idx="201">
                <c:v>101</c:v>
              </c:pt>
              <c:pt idx="202">
                <c:v>101.5</c:v>
              </c:pt>
              <c:pt idx="203">
                <c:v>102</c:v>
              </c:pt>
              <c:pt idx="204">
                <c:v>102.5</c:v>
              </c:pt>
              <c:pt idx="205">
                <c:v>103</c:v>
              </c:pt>
              <c:pt idx="206">
                <c:v>103.5</c:v>
              </c:pt>
              <c:pt idx="207">
                <c:v>104</c:v>
              </c:pt>
              <c:pt idx="208">
                <c:v>104.5</c:v>
              </c:pt>
              <c:pt idx="209">
                <c:v>105</c:v>
              </c:pt>
              <c:pt idx="210">
                <c:v>105.5</c:v>
              </c:pt>
              <c:pt idx="211">
                <c:v>106</c:v>
              </c:pt>
              <c:pt idx="212">
                <c:v>106.5</c:v>
              </c:pt>
              <c:pt idx="213">
                <c:v>107</c:v>
              </c:pt>
              <c:pt idx="214">
                <c:v>107.5</c:v>
              </c:pt>
              <c:pt idx="215">
                <c:v>108</c:v>
              </c:pt>
              <c:pt idx="216">
                <c:v>108.5</c:v>
              </c:pt>
              <c:pt idx="217">
                <c:v>109</c:v>
              </c:pt>
              <c:pt idx="218">
                <c:v>109.5</c:v>
              </c:pt>
              <c:pt idx="219">
                <c:v>110</c:v>
              </c:pt>
              <c:pt idx="220">
                <c:v>110.5</c:v>
              </c:pt>
              <c:pt idx="221">
                <c:v>111</c:v>
              </c:pt>
              <c:pt idx="222">
                <c:v>111.5</c:v>
              </c:pt>
              <c:pt idx="223">
                <c:v>112</c:v>
              </c:pt>
              <c:pt idx="224">
                <c:v>112.5</c:v>
              </c:pt>
              <c:pt idx="225">
                <c:v>113</c:v>
              </c:pt>
              <c:pt idx="226">
                <c:v>113.5</c:v>
              </c:pt>
              <c:pt idx="227">
                <c:v>114</c:v>
              </c:pt>
              <c:pt idx="228">
                <c:v>114.5</c:v>
              </c:pt>
              <c:pt idx="229">
                <c:v>115</c:v>
              </c:pt>
              <c:pt idx="230">
                <c:v>115.5</c:v>
              </c:pt>
              <c:pt idx="231">
                <c:v>116</c:v>
              </c:pt>
              <c:pt idx="232">
                <c:v>116.5</c:v>
              </c:pt>
              <c:pt idx="233">
                <c:v>117</c:v>
              </c:pt>
              <c:pt idx="234">
                <c:v>117.5</c:v>
              </c:pt>
              <c:pt idx="235">
                <c:v>118</c:v>
              </c:pt>
              <c:pt idx="236">
                <c:v>118.5</c:v>
              </c:pt>
              <c:pt idx="237">
                <c:v>119</c:v>
              </c:pt>
              <c:pt idx="238">
                <c:v>119.5</c:v>
              </c:pt>
              <c:pt idx="239">
                <c:v>120</c:v>
              </c:pt>
              <c:pt idx="240">
                <c:v>120.5</c:v>
              </c:pt>
              <c:pt idx="241">
                <c:v>121</c:v>
              </c:pt>
              <c:pt idx="242">
                <c:v>121.5</c:v>
              </c:pt>
              <c:pt idx="243">
                <c:v>122</c:v>
              </c:pt>
              <c:pt idx="244">
                <c:v>122.5</c:v>
              </c:pt>
              <c:pt idx="245">
                <c:v>123</c:v>
              </c:pt>
              <c:pt idx="246">
                <c:v>123.5</c:v>
              </c:pt>
              <c:pt idx="247">
                <c:v>124</c:v>
              </c:pt>
              <c:pt idx="248">
                <c:v>124.5</c:v>
              </c:pt>
              <c:pt idx="249">
                <c:v>125</c:v>
              </c:pt>
              <c:pt idx="250">
                <c:v>125.5</c:v>
              </c:pt>
              <c:pt idx="251">
                <c:v>126</c:v>
              </c:pt>
              <c:pt idx="252">
                <c:v>126.5</c:v>
              </c:pt>
              <c:pt idx="253">
                <c:v>127</c:v>
              </c:pt>
              <c:pt idx="254">
                <c:v>127.5</c:v>
              </c:pt>
              <c:pt idx="255">
                <c:v>128</c:v>
              </c:pt>
              <c:pt idx="256">
                <c:v>128.5</c:v>
              </c:pt>
              <c:pt idx="257">
                <c:v>129</c:v>
              </c:pt>
              <c:pt idx="258">
                <c:v>129.5</c:v>
              </c:pt>
              <c:pt idx="259">
                <c:v>130</c:v>
              </c:pt>
              <c:pt idx="260">
                <c:v>130.5</c:v>
              </c:pt>
              <c:pt idx="261">
                <c:v>131</c:v>
              </c:pt>
              <c:pt idx="262">
                <c:v>131.5</c:v>
              </c:pt>
              <c:pt idx="263">
                <c:v>132</c:v>
              </c:pt>
              <c:pt idx="264">
                <c:v>132.5</c:v>
              </c:pt>
              <c:pt idx="265">
                <c:v>133</c:v>
              </c:pt>
              <c:pt idx="266">
                <c:v>133.5</c:v>
              </c:pt>
              <c:pt idx="267">
                <c:v>134</c:v>
              </c:pt>
              <c:pt idx="268">
                <c:v>134.5</c:v>
              </c:pt>
              <c:pt idx="269">
                <c:v>135</c:v>
              </c:pt>
              <c:pt idx="270">
                <c:v>135.5</c:v>
              </c:pt>
              <c:pt idx="271">
                <c:v>136</c:v>
              </c:pt>
              <c:pt idx="272">
                <c:v>136.5</c:v>
              </c:pt>
              <c:pt idx="273">
                <c:v>137</c:v>
              </c:pt>
              <c:pt idx="274">
                <c:v>137.5</c:v>
              </c:pt>
              <c:pt idx="275">
                <c:v>138</c:v>
              </c:pt>
              <c:pt idx="276">
                <c:v>138.5</c:v>
              </c:pt>
              <c:pt idx="277">
                <c:v>139</c:v>
              </c:pt>
              <c:pt idx="278">
                <c:v>139.5</c:v>
              </c:pt>
              <c:pt idx="279">
                <c:v>140</c:v>
              </c:pt>
              <c:pt idx="280">
                <c:v>140.5</c:v>
              </c:pt>
              <c:pt idx="281">
                <c:v>141</c:v>
              </c:pt>
              <c:pt idx="282">
                <c:v>141.5</c:v>
              </c:pt>
              <c:pt idx="283">
                <c:v>142</c:v>
              </c:pt>
              <c:pt idx="284">
                <c:v>142.5</c:v>
              </c:pt>
              <c:pt idx="285">
                <c:v>143</c:v>
              </c:pt>
              <c:pt idx="286">
                <c:v>143.5</c:v>
              </c:pt>
              <c:pt idx="287">
                <c:v>144</c:v>
              </c:pt>
              <c:pt idx="288">
                <c:v>144.5</c:v>
              </c:pt>
              <c:pt idx="289">
                <c:v>145</c:v>
              </c:pt>
              <c:pt idx="290">
                <c:v>145.5</c:v>
              </c:pt>
              <c:pt idx="291">
                <c:v>146</c:v>
              </c:pt>
              <c:pt idx="292">
                <c:v>146.5</c:v>
              </c:pt>
              <c:pt idx="293">
                <c:v>147</c:v>
              </c:pt>
              <c:pt idx="294">
                <c:v>147.5</c:v>
              </c:pt>
              <c:pt idx="295">
                <c:v>148</c:v>
              </c:pt>
              <c:pt idx="296">
                <c:v>148.5</c:v>
              </c:pt>
              <c:pt idx="297">
                <c:v>149</c:v>
              </c:pt>
              <c:pt idx="298">
                <c:v>149.5</c:v>
              </c:pt>
              <c:pt idx="299">
                <c:v>150</c:v>
              </c:pt>
              <c:pt idx="300">
                <c:v>150.5</c:v>
              </c:pt>
              <c:pt idx="301">
                <c:v>151</c:v>
              </c:pt>
              <c:pt idx="302">
                <c:v>151.5</c:v>
              </c:pt>
              <c:pt idx="303">
                <c:v>152</c:v>
              </c:pt>
              <c:pt idx="304">
                <c:v>152.5</c:v>
              </c:pt>
              <c:pt idx="305">
                <c:v>153</c:v>
              </c:pt>
              <c:pt idx="306">
                <c:v>153.5</c:v>
              </c:pt>
              <c:pt idx="307">
                <c:v>154</c:v>
              </c:pt>
              <c:pt idx="308">
                <c:v>154.5</c:v>
              </c:pt>
              <c:pt idx="309">
                <c:v>155</c:v>
              </c:pt>
              <c:pt idx="310">
                <c:v>155.5</c:v>
              </c:pt>
              <c:pt idx="311">
                <c:v>156</c:v>
              </c:pt>
              <c:pt idx="312">
                <c:v>156.5</c:v>
              </c:pt>
              <c:pt idx="313">
                <c:v>157</c:v>
              </c:pt>
              <c:pt idx="314">
                <c:v>157.5</c:v>
              </c:pt>
              <c:pt idx="315">
                <c:v>158</c:v>
              </c:pt>
              <c:pt idx="316">
                <c:v>158.5</c:v>
              </c:pt>
              <c:pt idx="317">
                <c:v>159</c:v>
              </c:pt>
              <c:pt idx="318">
                <c:v>159.5</c:v>
              </c:pt>
              <c:pt idx="319">
                <c:v>160</c:v>
              </c:pt>
              <c:pt idx="320">
                <c:v>160.5</c:v>
              </c:pt>
              <c:pt idx="321">
                <c:v>161</c:v>
              </c:pt>
              <c:pt idx="322">
                <c:v>161.5</c:v>
              </c:pt>
              <c:pt idx="323">
                <c:v>162</c:v>
              </c:pt>
              <c:pt idx="324">
                <c:v>162.5</c:v>
              </c:pt>
              <c:pt idx="325">
                <c:v>163</c:v>
              </c:pt>
              <c:pt idx="326">
                <c:v>163.5</c:v>
              </c:pt>
              <c:pt idx="327">
                <c:v>164</c:v>
              </c:pt>
              <c:pt idx="328">
                <c:v>164.5</c:v>
              </c:pt>
              <c:pt idx="329">
                <c:v>165</c:v>
              </c:pt>
              <c:pt idx="330">
                <c:v>165.5</c:v>
              </c:pt>
              <c:pt idx="331">
                <c:v>166</c:v>
              </c:pt>
              <c:pt idx="332">
                <c:v>166.5</c:v>
              </c:pt>
              <c:pt idx="333">
                <c:v>167</c:v>
              </c:pt>
              <c:pt idx="334">
                <c:v>167.5</c:v>
              </c:pt>
              <c:pt idx="335">
                <c:v>168</c:v>
              </c:pt>
              <c:pt idx="336">
                <c:v>168.5</c:v>
              </c:pt>
              <c:pt idx="337">
                <c:v>169</c:v>
              </c:pt>
              <c:pt idx="338">
                <c:v>169.5</c:v>
              </c:pt>
              <c:pt idx="339">
                <c:v>170</c:v>
              </c:pt>
              <c:pt idx="340">
                <c:v>170.5</c:v>
              </c:pt>
              <c:pt idx="341">
                <c:v>171</c:v>
              </c:pt>
              <c:pt idx="342">
                <c:v>171.5</c:v>
              </c:pt>
              <c:pt idx="343">
                <c:v>172</c:v>
              </c:pt>
              <c:pt idx="344">
                <c:v>172.5</c:v>
              </c:pt>
              <c:pt idx="345">
                <c:v>173</c:v>
              </c:pt>
              <c:pt idx="346">
                <c:v>173.5</c:v>
              </c:pt>
              <c:pt idx="347">
                <c:v>174</c:v>
              </c:pt>
              <c:pt idx="348">
                <c:v>174.5</c:v>
              </c:pt>
              <c:pt idx="349">
                <c:v>175</c:v>
              </c:pt>
              <c:pt idx="350">
                <c:v>175.5</c:v>
              </c:pt>
              <c:pt idx="351">
                <c:v>176</c:v>
              </c:pt>
              <c:pt idx="352">
                <c:v>176.5</c:v>
              </c:pt>
              <c:pt idx="353">
                <c:v>177</c:v>
              </c:pt>
              <c:pt idx="354">
                <c:v>177.5</c:v>
              </c:pt>
              <c:pt idx="355">
                <c:v>178</c:v>
              </c:pt>
              <c:pt idx="356">
                <c:v>178.5</c:v>
              </c:pt>
              <c:pt idx="357">
                <c:v>179</c:v>
              </c:pt>
              <c:pt idx="358">
                <c:v>179.5</c:v>
              </c:pt>
              <c:pt idx="359">
                <c:v>180</c:v>
              </c:pt>
              <c:pt idx="360">
                <c:v>180.5</c:v>
              </c:pt>
              <c:pt idx="361">
                <c:v>181</c:v>
              </c:pt>
              <c:pt idx="362">
                <c:v>181.5</c:v>
              </c:pt>
              <c:pt idx="363">
                <c:v>182</c:v>
              </c:pt>
              <c:pt idx="364">
                <c:v>182.5</c:v>
              </c:pt>
              <c:pt idx="365">
                <c:v>183</c:v>
              </c:pt>
              <c:pt idx="366">
                <c:v>183.5</c:v>
              </c:pt>
              <c:pt idx="367">
                <c:v>184</c:v>
              </c:pt>
              <c:pt idx="368">
                <c:v>184.5</c:v>
              </c:pt>
              <c:pt idx="369">
                <c:v>185</c:v>
              </c:pt>
              <c:pt idx="370">
                <c:v>185.5</c:v>
              </c:pt>
              <c:pt idx="371">
                <c:v>186</c:v>
              </c:pt>
              <c:pt idx="372">
                <c:v>186.5</c:v>
              </c:pt>
              <c:pt idx="373">
                <c:v>187</c:v>
              </c:pt>
              <c:pt idx="374">
                <c:v>187.5</c:v>
              </c:pt>
              <c:pt idx="375">
                <c:v>188</c:v>
              </c:pt>
              <c:pt idx="376">
                <c:v>188.5</c:v>
              </c:pt>
              <c:pt idx="377">
                <c:v>189</c:v>
              </c:pt>
              <c:pt idx="378">
                <c:v>189.5</c:v>
              </c:pt>
              <c:pt idx="379">
                <c:v>190</c:v>
              </c:pt>
              <c:pt idx="380">
                <c:v>190.5</c:v>
              </c:pt>
              <c:pt idx="381">
                <c:v>191</c:v>
              </c:pt>
              <c:pt idx="382">
                <c:v>191.5</c:v>
              </c:pt>
              <c:pt idx="383">
                <c:v>192</c:v>
              </c:pt>
              <c:pt idx="384">
                <c:v>192.5</c:v>
              </c:pt>
              <c:pt idx="385">
                <c:v>193</c:v>
              </c:pt>
              <c:pt idx="386">
                <c:v>193.5</c:v>
              </c:pt>
              <c:pt idx="387">
                <c:v>194</c:v>
              </c:pt>
              <c:pt idx="388">
                <c:v>194.5</c:v>
              </c:pt>
              <c:pt idx="389">
                <c:v>195</c:v>
              </c:pt>
              <c:pt idx="390">
                <c:v>195.5</c:v>
              </c:pt>
              <c:pt idx="391">
                <c:v>196</c:v>
              </c:pt>
              <c:pt idx="392">
                <c:v>196.5</c:v>
              </c:pt>
              <c:pt idx="393">
                <c:v>197</c:v>
              </c:pt>
              <c:pt idx="394">
                <c:v>197.5</c:v>
              </c:pt>
              <c:pt idx="395">
                <c:v>198</c:v>
              </c:pt>
              <c:pt idx="396">
                <c:v>198.5</c:v>
              </c:pt>
              <c:pt idx="397">
                <c:v>199</c:v>
              </c:pt>
              <c:pt idx="398">
                <c:v>199.5</c:v>
              </c:pt>
              <c:pt idx="399">
                <c:v>200</c:v>
              </c:pt>
              <c:pt idx="400">
                <c:v>200.5</c:v>
              </c:pt>
              <c:pt idx="401">
                <c:v>201</c:v>
              </c:pt>
              <c:pt idx="402">
                <c:v>201.5</c:v>
              </c:pt>
              <c:pt idx="403">
                <c:v>202</c:v>
              </c:pt>
              <c:pt idx="404">
                <c:v>202.5</c:v>
              </c:pt>
              <c:pt idx="405">
                <c:v>203</c:v>
              </c:pt>
              <c:pt idx="406">
                <c:v>203.5</c:v>
              </c:pt>
              <c:pt idx="407">
                <c:v>204</c:v>
              </c:pt>
              <c:pt idx="408">
                <c:v>204.5</c:v>
              </c:pt>
              <c:pt idx="409">
                <c:v>205</c:v>
              </c:pt>
              <c:pt idx="410">
                <c:v>205.5</c:v>
              </c:pt>
              <c:pt idx="411">
                <c:v>206</c:v>
              </c:pt>
              <c:pt idx="412">
                <c:v>206.5</c:v>
              </c:pt>
              <c:pt idx="413">
                <c:v>207</c:v>
              </c:pt>
              <c:pt idx="414">
                <c:v>207.5</c:v>
              </c:pt>
              <c:pt idx="415">
                <c:v>208</c:v>
              </c:pt>
              <c:pt idx="416">
                <c:v>208.5</c:v>
              </c:pt>
              <c:pt idx="417">
                <c:v>209</c:v>
              </c:pt>
              <c:pt idx="418">
                <c:v>209.5</c:v>
              </c:pt>
              <c:pt idx="419">
                <c:v>210</c:v>
              </c:pt>
              <c:pt idx="420">
                <c:v>210.5</c:v>
              </c:pt>
              <c:pt idx="421">
                <c:v>211</c:v>
              </c:pt>
              <c:pt idx="422">
                <c:v>211.5</c:v>
              </c:pt>
              <c:pt idx="423">
                <c:v>212</c:v>
              </c:pt>
              <c:pt idx="424">
                <c:v>212.5</c:v>
              </c:pt>
              <c:pt idx="425">
                <c:v>213</c:v>
              </c:pt>
              <c:pt idx="426">
                <c:v>213.5</c:v>
              </c:pt>
              <c:pt idx="427">
                <c:v>214</c:v>
              </c:pt>
              <c:pt idx="428">
                <c:v>214.5</c:v>
              </c:pt>
              <c:pt idx="429">
                <c:v>215</c:v>
              </c:pt>
              <c:pt idx="430">
                <c:v>215.5</c:v>
              </c:pt>
              <c:pt idx="431">
                <c:v>216</c:v>
              </c:pt>
              <c:pt idx="432">
                <c:v>216.5</c:v>
              </c:pt>
              <c:pt idx="433">
                <c:v>217</c:v>
              </c:pt>
              <c:pt idx="434">
                <c:v>217.5</c:v>
              </c:pt>
              <c:pt idx="435">
                <c:v>218</c:v>
              </c:pt>
              <c:pt idx="436">
                <c:v>218.5</c:v>
              </c:pt>
              <c:pt idx="437">
                <c:v>219</c:v>
              </c:pt>
              <c:pt idx="438">
                <c:v>219.5</c:v>
              </c:pt>
              <c:pt idx="439">
                <c:v>220</c:v>
              </c:pt>
              <c:pt idx="440">
                <c:v>220.5</c:v>
              </c:pt>
              <c:pt idx="441">
                <c:v>221</c:v>
              </c:pt>
              <c:pt idx="442">
                <c:v>221.5</c:v>
              </c:pt>
              <c:pt idx="443">
                <c:v>222</c:v>
              </c:pt>
              <c:pt idx="444">
                <c:v>222.5</c:v>
              </c:pt>
              <c:pt idx="445">
                <c:v>223</c:v>
              </c:pt>
              <c:pt idx="446">
                <c:v>223.5</c:v>
              </c:pt>
              <c:pt idx="447">
                <c:v>224</c:v>
              </c:pt>
              <c:pt idx="448">
                <c:v>224.5</c:v>
              </c:pt>
              <c:pt idx="449">
                <c:v>225</c:v>
              </c:pt>
              <c:pt idx="450">
                <c:v>225.5</c:v>
              </c:pt>
              <c:pt idx="451">
                <c:v>226</c:v>
              </c:pt>
              <c:pt idx="452">
                <c:v>226.5</c:v>
              </c:pt>
              <c:pt idx="453">
                <c:v>227</c:v>
              </c:pt>
              <c:pt idx="454">
                <c:v>227.5</c:v>
              </c:pt>
              <c:pt idx="455">
                <c:v>228</c:v>
              </c:pt>
              <c:pt idx="456">
                <c:v>228.5</c:v>
              </c:pt>
              <c:pt idx="457">
                <c:v>229</c:v>
              </c:pt>
              <c:pt idx="458">
                <c:v>229.5</c:v>
              </c:pt>
              <c:pt idx="459">
                <c:v>230</c:v>
              </c:pt>
              <c:pt idx="460">
                <c:v>230.5</c:v>
              </c:pt>
              <c:pt idx="461">
                <c:v>231</c:v>
              </c:pt>
              <c:pt idx="462">
                <c:v>231.5</c:v>
              </c:pt>
              <c:pt idx="463">
                <c:v>232</c:v>
              </c:pt>
              <c:pt idx="464">
                <c:v>232.5</c:v>
              </c:pt>
              <c:pt idx="465">
                <c:v>233</c:v>
              </c:pt>
              <c:pt idx="466">
                <c:v>233.5</c:v>
              </c:pt>
              <c:pt idx="467">
                <c:v>234</c:v>
              </c:pt>
              <c:pt idx="468">
                <c:v>234.5</c:v>
              </c:pt>
              <c:pt idx="469">
                <c:v>235</c:v>
              </c:pt>
              <c:pt idx="470">
                <c:v>235.5</c:v>
              </c:pt>
              <c:pt idx="471">
                <c:v>236</c:v>
              </c:pt>
              <c:pt idx="472">
                <c:v>236.5</c:v>
              </c:pt>
              <c:pt idx="473">
                <c:v>237</c:v>
              </c:pt>
              <c:pt idx="474">
                <c:v>237.5</c:v>
              </c:pt>
              <c:pt idx="475">
                <c:v>238</c:v>
              </c:pt>
              <c:pt idx="476">
                <c:v>238.5</c:v>
              </c:pt>
              <c:pt idx="477">
                <c:v>239</c:v>
              </c:pt>
              <c:pt idx="478">
                <c:v>239.5</c:v>
              </c:pt>
              <c:pt idx="479">
                <c:v>240</c:v>
              </c:pt>
              <c:pt idx="480">
                <c:v>240.5</c:v>
              </c:pt>
              <c:pt idx="481">
                <c:v>241</c:v>
              </c:pt>
              <c:pt idx="482">
                <c:v>241.5</c:v>
              </c:pt>
              <c:pt idx="483">
                <c:v>242</c:v>
              </c:pt>
              <c:pt idx="484">
                <c:v>242.5</c:v>
              </c:pt>
              <c:pt idx="485">
                <c:v>243</c:v>
              </c:pt>
              <c:pt idx="486">
                <c:v>243.5</c:v>
              </c:pt>
              <c:pt idx="487">
                <c:v>244</c:v>
              </c:pt>
              <c:pt idx="488">
                <c:v>244.5</c:v>
              </c:pt>
              <c:pt idx="489">
                <c:v>245</c:v>
              </c:pt>
              <c:pt idx="490">
                <c:v>245.5</c:v>
              </c:pt>
              <c:pt idx="491">
                <c:v>246</c:v>
              </c:pt>
              <c:pt idx="492">
                <c:v>246.5</c:v>
              </c:pt>
              <c:pt idx="493">
                <c:v>247</c:v>
              </c:pt>
              <c:pt idx="494">
                <c:v>247.5</c:v>
              </c:pt>
              <c:pt idx="495">
                <c:v>248</c:v>
              </c:pt>
              <c:pt idx="496">
                <c:v>248.5</c:v>
              </c:pt>
              <c:pt idx="497">
                <c:v>249</c:v>
              </c:pt>
              <c:pt idx="498">
                <c:v>249.5</c:v>
              </c:pt>
              <c:pt idx="499">
                <c:v>250</c:v>
              </c:pt>
              <c:pt idx="500">
                <c:v>250.5</c:v>
              </c:pt>
              <c:pt idx="501">
                <c:v>251</c:v>
              </c:pt>
              <c:pt idx="502">
                <c:v>251.5</c:v>
              </c:pt>
              <c:pt idx="503">
                <c:v>252</c:v>
              </c:pt>
              <c:pt idx="504">
                <c:v>252.5</c:v>
              </c:pt>
              <c:pt idx="505">
                <c:v>253</c:v>
              </c:pt>
              <c:pt idx="506">
                <c:v>253.5</c:v>
              </c:pt>
              <c:pt idx="507">
                <c:v>254</c:v>
              </c:pt>
              <c:pt idx="508">
                <c:v>254.5</c:v>
              </c:pt>
              <c:pt idx="509">
                <c:v>255</c:v>
              </c:pt>
              <c:pt idx="510">
                <c:v>255.5</c:v>
              </c:pt>
              <c:pt idx="511">
                <c:v>256</c:v>
              </c:pt>
              <c:pt idx="512">
                <c:v>256.5</c:v>
              </c:pt>
              <c:pt idx="513">
                <c:v>257</c:v>
              </c:pt>
              <c:pt idx="514">
                <c:v>257.5</c:v>
              </c:pt>
              <c:pt idx="515">
                <c:v>258</c:v>
              </c:pt>
              <c:pt idx="516">
                <c:v>258.5</c:v>
              </c:pt>
              <c:pt idx="517">
                <c:v>259</c:v>
              </c:pt>
              <c:pt idx="518">
                <c:v>259.5</c:v>
              </c:pt>
              <c:pt idx="519">
                <c:v>260</c:v>
              </c:pt>
              <c:pt idx="520">
                <c:v>260.5</c:v>
              </c:pt>
              <c:pt idx="521">
                <c:v>261</c:v>
              </c:pt>
              <c:pt idx="522">
                <c:v>261.5</c:v>
              </c:pt>
              <c:pt idx="523">
                <c:v>262</c:v>
              </c:pt>
              <c:pt idx="524">
                <c:v>262.5</c:v>
              </c:pt>
              <c:pt idx="525">
                <c:v>263</c:v>
              </c:pt>
              <c:pt idx="526">
                <c:v>263.5</c:v>
              </c:pt>
              <c:pt idx="527">
                <c:v>264</c:v>
              </c:pt>
              <c:pt idx="528">
                <c:v>264.5</c:v>
              </c:pt>
              <c:pt idx="529">
                <c:v>265</c:v>
              </c:pt>
              <c:pt idx="530">
                <c:v>265.5</c:v>
              </c:pt>
              <c:pt idx="531">
                <c:v>266</c:v>
              </c:pt>
              <c:pt idx="532">
                <c:v>266.5</c:v>
              </c:pt>
              <c:pt idx="533">
                <c:v>267</c:v>
              </c:pt>
              <c:pt idx="534">
                <c:v>267.5</c:v>
              </c:pt>
              <c:pt idx="535">
                <c:v>268</c:v>
              </c:pt>
              <c:pt idx="536">
                <c:v>268.5</c:v>
              </c:pt>
              <c:pt idx="537">
                <c:v>269</c:v>
              </c:pt>
              <c:pt idx="538">
                <c:v>269.5</c:v>
              </c:pt>
              <c:pt idx="539">
                <c:v>270</c:v>
              </c:pt>
              <c:pt idx="540">
                <c:v>270.5</c:v>
              </c:pt>
              <c:pt idx="541">
                <c:v>271</c:v>
              </c:pt>
              <c:pt idx="542">
                <c:v>271.5</c:v>
              </c:pt>
              <c:pt idx="543">
                <c:v>272</c:v>
              </c:pt>
              <c:pt idx="544">
                <c:v>272.5</c:v>
              </c:pt>
              <c:pt idx="545">
                <c:v>273</c:v>
              </c:pt>
              <c:pt idx="546">
                <c:v>273.5</c:v>
              </c:pt>
              <c:pt idx="547">
                <c:v>274</c:v>
              </c:pt>
              <c:pt idx="548">
                <c:v>274.5</c:v>
              </c:pt>
              <c:pt idx="549">
                <c:v>275</c:v>
              </c:pt>
              <c:pt idx="550">
                <c:v>275.5</c:v>
              </c:pt>
              <c:pt idx="551">
                <c:v>276</c:v>
              </c:pt>
              <c:pt idx="552">
                <c:v>276.5</c:v>
              </c:pt>
              <c:pt idx="553">
                <c:v>277</c:v>
              </c:pt>
              <c:pt idx="554">
                <c:v>277.5</c:v>
              </c:pt>
              <c:pt idx="555">
                <c:v>278</c:v>
              </c:pt>
              <c:pt idx="556">
                <c:v>278.5</c:v>
              </c:pt>
              <c:pt idx="557">
                <c:v>279</c:v>
              </c:pt>
              <c:pt idx="558">
                <c:v>279.5</c:v>
              </c:pt>
              <c:pt idx="559">
                <c:v>280</c:v>
              </c:pt>
              <c:pt idx="560">
                <c:v>280.5</c:v>
              </c:pt>
              <c:pt idx="561">
                <c:v>281</c:v>
              </c:pt>
              <c:pt idx="562">
                <c:v>281.5</c:v>
              </c:pt>
              <c:pt idx="563">
                <c:v>282</c:v>
              </c:pt>
              <c:pt idx="564">
                <c:v>282.5</c:v>
              </c:pt>
              <c:pt idx="565">
                <c:v>283</c:v>
              </c:pt>
              <c:pt idx="566">
                <c:v>283.5</c:v>
              </c:pt>
              <c:pt idx="567">
                <c:v>284</c:v>
              </c:pt>
              <c:pt idx="568">
                <c:v>284.5</c:v>
              </c:pt>
              <c:pt idx="569">
                <c:v>285</c:v>
              </c:pt>
              <c:pt idx="570">
                <c:v>285.5</c:v>
              </c:pt>
              <c:pt idx="571">
                <c:v>286</c:v>
              </c:pt>
              <c:pt idx="572">
                <c:v>286.5</c:v>
              </c:pt>
              <c:pt idx="573">
                <c:v>287</c:v>
              </c:pt>
              <c:pt idx="574">
                <c:v>287.5</c:v>
              </c:pt>
              <c:pt idx="575">
                <c:v>288</c:v>
              </c:pt>
              <c:pt idx="576">
                <c:v>288.5</c:v>
              </c:pt>
              <c:pt idx="577">
                <c:v>289</c:v>
              </c:pt>
              <c:pt idx="578">
                <c:v>289.5</c:v>
              </c:pt>
              <c:pt idx="579">
                <c:v>290</c:v>
              </c:pt>
              <c:pt idx="580">
                <c:v>290.5</c:v>
              </c:pt>
              <c:pt idx="581">
                <c:v>291</c:v>
              </c:pt>
              <c:pt idx="582">
                <c:v>291.5</c:v>
              </c:pt>
              <c:pt idx="583">
                <c:v>292</c:v>
              </c:pt>
              <c:pt idx="584">
                <c:v>292.5</c:v>
              </c:pt>
              <c:pt idx="585">
                <c:v>293</c:v>
              </c:pt>
              <c:pt idx="586">
                <c:v>293.5</c:v>
              </c:pt>
              <c:pt idx="587">
                <c:v>294</c:v>
              </c:pt>
              <c:pt idx="588">
                <c:v>294.5</c:v>
              </c:pt>
              <c:pt idx="589">
                <c:v>295</c:v>
              </c:pt>
              <c:pt idx="590">
                <c:v>295.5</c:v>
              </c:pt>
              <c:pt idx="591">
                <c:v>296</c:v>
              </c:pt>
              <c:pt idx="592">
                <c:v>296.5</c:v>
              </c:pt>
              <c:pt idx="593">
                <c:v>297</c:v>
              </c:pt>
              <c:pt idx="594">
                <c:v>297.5</c:v>
              </c:pt>
              <c:pt idx="595">
                <c:v>298</c:v>
              </c:pt>
              <c:pt idx="596">
                <c:v>298.5</c:v>
              </c:pt>
              <c:pt idx="597">
                <c:v>299</c:v>
              </c:pt>
              <c:pt idx="598">
                <c:v>299.5</c:v>
              </c:pt>
              <c:pt idx="599">
                <c:v>300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5F4-476E-8A98-404642141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575440"/>
        <c:axId val="987570864"/>
      </c:scatterChart>
      <c:valAx>
        <c:axId val="98757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0864"/>
        <c:crosses val="autoZero"/>
        <c:crossBetween val="midCat"/>
      </c:valAx>
      <c:valAx>
        <c:axId val="9875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Teplota/počet otopných dní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Pomery_vykonu!$W$6:$W$34</c:f>
              <c:numCache>
                <c:formatCode>General</c:formatCode>
                <c:ptCount val="29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</c:numCache>
            </c:numRef>
          </c:xVal>
          <c:yVal>
            <c:numRef>
              <c:f>Pomery_vykonu!$AB$6:$AB$34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16.5</c:v>
                </c:pt>
                <c:pt idx="9">
                  <c:v>23.5</c:v>
                </c:pt>
                <c:pt idx="10">
                  <c:v>31.5</c:v>
                </c:pt>
                <c:pt idx="11">
                  <c:v>41.5</c:v>
                </c:pt>
                <c:pt idx="12">
                  <c:v>53</c:v>
                </c:pt>
                <c:pt idx="13">
                  <c:v>65.5</c:v>
                </c:pt>
                <c:pt idx="14">
                  <c:v>79</c:v>
                </c:pt>
                <c:pt idx="15">
                  <c:v>93.5</c:v>
                </c:pt>
                <c:pt idx="16">
                  <c:v>108</c:v>
                </c:pt>
                <c:pt idx="17">
                  <c:v>123</c:v>
                </c:pt>
                <c:pt idx="18">
                  <c:v>138</c:v>
                </c:pt>
                <c:pt idx="19">
                  <c:v>152.5</c:v>
                </c:pt>
                <c:pt idx="20">
                  <c:v>167</c:v>
                </c:pt>
                <c:pt idx="21">
                  <c:v>180.5</c:v>
                </c:pt>
                <c:pt idx="22">
                  <c:v>193</c:v>
                </c:pt>
                <c:pt idx="23">
                  <c:v>204.5</c:v>
                </c:pt>
                <c:pt idx="24">
                  <c:v>215.5</c:v>
                </c:pt>
                <c:pt idx="25">
                  <c:v>225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0D-4494-8C1E-F9BBD2D6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575440"/>
        <c:axId val="987570864"/>
      </c:scatterChart>
      <c:valAx>
        <c:axId val="98757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0864"/>
        <c:crosses val="autoZero"/>
        <c:crossBetween val="midCat"/>
      </c:valAx>
      <c:valAx>
        <c:axId val="9875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Teplota/výkon</a:t>
            </a:r>
            <a:r>
              <a:rPr lang="cs-CZ"/>
              <a:t> zdroje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xVal>
          <c:yVal>
            <c:numRef>
              <c:f>Pomery_vykonu!$Y$6:$Y$41</c:f>
              <c:numCache>
                <c:formatCode>0.0</c:formatCode>
                <c:ptCount val="36"/>
                <c:pt idx="0">
                  <c:v>186</c:v>
                </c:pt>
                <c:pt idx="1">
                  <c:v>180</c:v>
                </c:pt>
                <c:pt idx="2">
                  <c:v>174</c:v>
                </c:pt>
                <c:pt idx="3">
                  <c:v>168</c:v>
                </c:pt>
                <c:pt idx="4">
                  <c:v>162</c:v>
                </c:pt>
                <c:pt idx="5">
                  <c:v>155.99999999999997</c:v>
                </c:pt>
                <c:pt idx="6">
                  <c:v>150</c:v>
                </c:pt>
                <c:pt idx="7">
                  <c:v>144</c:v>
                </c:pt>
                <c:pt idx="8">
                  <c:v>138</c:v>
                </c:pt>
                <c:pt idx="9">
                  <c:v>132</c:v>
                </c:pt>
                <c:pt idx="10">
                  <c:v>125.99999999999999</c:v>
                </c:pt>
                <c:pt idx="11">
                  <c:v>120</c:v>
                </c:pt>
                <c:pt idx="12">
                  <c:v>114</c:v>
                </c:pt>
                <c:pt idx="13">
                  <c:v>107.99999999999999</c:v>
                </c:pt>
                <c:pt idx="14">
                  <c:v>101.99999999999999</c:v>
                </c:pt>
                <c:pt idx="15">
                  <c:v>96</c:v>
                </c:pt>
                <c:pt idx="16">
                  <c:v>90</c:v>
                </c:pt>
                <c:pt idx="17">
                  <c:v>84</c:v>
                </c:pt>
                <c:pt idx="18">
                  <c:v>77.999999999999986</c:v>
                </c:pt>
                <c:pt idx="19">
                  <c:v>72</c:v>
                </c:pt>
                <c:pt idx="20">
                  <c:v>66</c:v>
                </c:pt>
                <c:pt idx="21">
                  <c:v>60</c:v>
                </c:pt>
                <c:pt idx="22">
                  <c:v>53.999999999999993</c:v>
                </c:pt>
                <c:pt idx="23">
                  <c:v>48</c:v>
                </c:pt>
                <c:pt idx="24">
                  <c:v>42</c:v>
                </c:pt>
                <c:pt idx="25">
                  <c:v>36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2-421A-982F-7D666FC78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575440"/>
        <c:axId val="987570864"/>
      </c:scatterChart>
      <c:valAx>
        <c:axId val="98757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0864"/>
        <c:crosses val="autoZero"/>
        <c:crossBetween val="midCat"/>
      </c:valAx>
      <c:valAx>
        <c:axId val="9875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výkon TC/teplota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7290218736779774"/>
                  <c:y val="-0.125563320925830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strRef>
              <c:f>Pomery_vykonu!$F$27:$F$35</c:f>
              <c:strCache>
                <c:ptCount val="8"/>
                <c:pt idx="7">
                  <c:v>e/(n0*nr)</c:v>
                </c:pt>
              </c:strCache>
            </c:strRef>
          </c:xVal>
          <c:yVal>
            <c:numRef>
              <c:f>Pomery_vykonu!$B$27:$B$35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23-4F15-9083-4097D89A9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575440"/>
        <c:axId val="987570864"/>
      </c:scatterChart>
      <c:valAx>
        <c:axId val="98757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0864"/>
        <c:crosses val="autoZero"/>
        <c:crossBetween val="midCat"/>
      </c:valAx>
      <c:valAx>
        <c:axId val="9875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8757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Výkon</a:t>
            </a:r>
            <a:r>
              <a:rPr lang="cs-CZ" baseline="0"/>
              <a:t> TČ a bivalence v závislosti na venkovní teplotě a ztrátě objektu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1"/>
          <c:tx>
            <c:v>výkon TČ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Pomery_vykonu!$AL$6:$AL$41</c:f>
              <c:numCache>
                <c:formatCode>0.0</c:formatCode>
                <c:ptCount val="36"/>
                <c:pt idx="0">
                  <c:v>120.10344827586206</c:v>
                </c:pt>
                <c:pt idx="1">
                  <c:v>123.54827586206896</c:v>
                </c:pt>
                <c:pt idx="2">
                  <c:v>126.99310344827586</c:v>
                </c:pt>
                <c:pt idx="3">
                  <c:v>130.43793103448274</c:v>
                </c:pt>
                <c:pt idx="4">
                  <c:v>133.88275862068963</c:v>
                </c:pt>
                <c:pt idx="5">
                  <c:v>137.32758620689651</c:v>
                </c:pt>
                <c:pt idx="6">
                  <c:v>139.7413793103448</c:v>
                </c:pt>
                <c:pt idx="7">
                  <c:v>142.15517241379308</c:v>
                </c:pt>
                <c:pt idx="8">
                  <c:v>138</c:v>
                </c:pt>
                <c:pt idx="9">
                  <c:v>132</c:v>
                </c:pt>
                <c:pt idx="10">
                  <c:v>125.99999999999999</c:v>
                </c:pt>
                <c:pt idx="11">
                  <c:v>120</c:v>
                </c:pt>
                <c:pt idx="12">
                  <c:v>114</c:v>
                </c:pt>
                <c:pt idx="13">
                  <c:v>107.99999999999999</c:v>
                </c:pt>
                <c:pt idx="14">
                  <c:v>101.99999999999999</c:v>
                </c:pt>
                <c:pt idx="15">
                  <c:v>96</c:v>
                </c:pt>
                <c:pt idx="16">
                  <c:v>90</c:v>
                </c:pt>
                <c:pt idx="17">
                  <c:v>84</c:v>
                </c:pt>
                <c:pt idx="18">
                  <c:v>77.999999999999986</c:v>
                </c:pt>
                <c:pt idx="19">
                  <c:v>72</c:v>
                </c:pt>
                <c:pt idx="20">
                  <c:v>66</c:v>
                </c:pt>
                <c:pt idx="21">
                  <c:v>60</c:v>
                </c:pt>
                <c:pt idx="22">
                  <c:v>53.999999999999993</c:v>
                </c:pt>
                <c:pt idx="23">
                  <c:v>48</c:v>
                </c:pt>
                <c:pt idx="24">
                  <c:v>42</c:v>
                </c:pt>
                <c:pt idx="25">
                  <c:v>13.393333333333333</c:v>
                </c:pt>
                <c:pt idx="26">
                  <c:v>13.393333333333333</c:v>
                </c:pt>
                <c:pt idx="27">
                  <c:v>13.393333333333333</c:v>
                </c:pt>
                <c:pt idx="28">
                  <c:v>13.393333333333333</c:v>
                </c:pt>
                <c:pt idx="29">
                  <c:v>13.393333333333333</c:v>
                </c:pt>
                <c:pt idx="30">
                  <c:v>13.393333333333333</c:v>
                </c:pt>
                <c:pt idx="31">
                  <c:v>13.393333333333333</c:v>
                </c:pt>
                <c:pt idx="32">
                  <c:v>13.393333333333333</c:v>
                </c:pt>
                <c:pt idx="33">
                  <c:v>13.393333333333333</c:v>
                </c:pt>
                <c:pt idx="34">
                  <c:v>13.393333333333333</c:v>
                </c:pt>
                <c:pt idx="35">
                  <c:v>13.393333333333333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6-4451-85A2-2CF323F887E7}"/>
            </c:ext>
          </c:extLst>
        </c:ser>
        <c:ser>
          <c:idx val="2"/>
          <c:order val="2"/>
          <c:tx>
            <c:v>Výkon bivalence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Pomery_vykonu!$AK$6:$AK$41</c:f>
              <c:numCache>
                <c:formatCode>0.0</c:formatCode>
                <c:ptCount val="36"/>
                <c:pt idx="0">
                  <c:v>65.896551724137936</c:v>
                </c:pt>
                <c:pt idx="1">
                  <c:v>56.451724137931038</c:v>
                </c:pt>
                <c:pt idx="2">
                  <c:v>47.006896551724139</c:v>
                </c:pt>
                <c:pt idx="3">
                  <c:v>37.562068965517255</c:v>
                </c:pt>
                <c:pt idx="4">
                  <c:v>28.117241379310371</c:v>
                </c:pt>
                <c:pt idx="5">
                  <c:v>18.672413793103459</c:v>
                </c:pt>
                <c:pt idx="6">
                  <c:v>10.258620689655203</c:v>
                </c:pt>
                <c:pt idx="7">
                  <c:v>1.8448275862069181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6-4451-85A2-2CF323F88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143936"/>
        <c:axId val="751144264"/>
      </c:barChart>
      <c:lineChart>
        <c:grouping val="standard"/>
        <c:varyColors val="0"/>
        <c:ser>
          <c:idx val="0"/>
          <c:order val="0"/>
          <c:tx>
            <c:v>Potřeba objektu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Pomery_vykonu!$W$6:$W$41</c:f>
              <c:numCache>
                <c:formatCode>General</c:formatCode>
                <c:ptCount val="36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</c:numCache>
            </c:numRef>
          </c:cat>
          <c:val>
            <c:numRef>
              <c:f>Pomery_vykonu!$Y$6:$Y$41</c:f>
              <c:numCache>
                <c:formatCode>0.0</c:formatCode>
                <c:ptCount val="36"/>
                <c:pt idx="0">
                  <c:v>186</c:v>
                </c:pt>
                <c:pt idx="1">
                  <c:v>180</c:v>
                </c:pt>
                <c:pt idx="2">
                  <c:v>174</c:v>
                </c:pt>
                <c:pt idx="3">
                  <c:v>168</c:v>
                </c:pt>
                <c:pt idx="4">
                  <c:v>162</c:v>
                </c:pt>
                <c:pt idx="5">
                  <c:v>155.99999999999997</c:v>
                </c:pt>
                <c:pt idx="6">
                  <c:v>150</c:v>
                </c:pt>
                <c:pt idx="7">
                  <c:v>144</c:v>
                </c:pt>
                <c:pt idx="8">
                  <c:v>138</c:v>
                </c:pt>
                <c:pt idx="9">
                  <c:v>132</c:v>
                </c:pt>
                <c:pt idx="10">
                  <c:v>125.99999999999999</c:v>
                </c:pt>
                <c:pt idx="11">
                  <c:v>120</c:v>
                </c:pt>
                <c:pt idx="12">
                  <c:v>114</c:v>
                </c:pt>
                <c:pt idx="13">
                  <c:v>107.99999999999999</c:v>
                </c:pt>
                <c:pt idx="14">
                  <c:v>101.99999999999999</c:v>
                </c:pt>
                <c:pt idx="15">
                  <c:v>96</c:v>
                </c:pt>
                <c:pt idx="16">
                  <c:v>90</c:v>
                </c:pt>
                <c:pt idx="17">
                  <c:v>84</c:v>
                </c:pt>
                <c:pt idx="18">
                  <c:v>77.999999999999986</c:v>
                </c:pt>
                <c:pt idx="19">
                  <c:v>72</c:v>
                </c:pt>
                <c:pt idx="20">
                  <c:v>66</c:v>
                </c:pt>
                <c:pt idx="21">
                  <c:v>60</c:v>
                </c:pt>
                <c:pt idx="22">
                  <c:v>53.999999999999993</c:v>
                </c:pt>
                <c:pt idx="23">
                  <c:v>48</c:v>
                </c:pt>
                <c:pt idx="24">
                  <c:v>42</c:v>
                </c:pt>
                <c:pt idx="25">
                  <c:v>36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6-4451-85A2-2CF323F88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143936"/>
        <c:axId val="751144264"/>
      </c:lineChart>
      <c:catAx>
        <c:axId val="7511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1144264"/>
        <c:crosses val="autoZero"/>
        <c:auto val="1"/>
        <c:lblAlgn val="ctr"/>
        <c:lblOffset val="100"/>
        <c:noMultiLvlLbl val="0"/>
      </c:catAx>
      <c:valAx>
        <c:axId val="75114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Výkon [kW]</a:t>
                </a:r>
              </a:p>
            </c:rich>
          </c:tx>
          <c:layout>
            <c:manualLayout>
              <c:xMode val="edge"/>
              <c:yMode val="edge"/>
              <c:x val="6.624110091666556E-2"/>
              <c:y val="0.35515802275464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114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0.xml"/><Relationship Id="rId3" Type="http://schemas.openxmlformats.org/officeDocument/2006/relationships/image" Target="../media/image4.png"/><Relationship Id="rId7" Type="http://schemas.openxmlformats.org/officeDocument/2006/relationships/chart" Target="../charts/chart5.xml"/><Relationship Id="rId12" Type="http://schemas.openxmlformats.org/officeDocument/2006/relationships/image" Target="../media/image7.png"/><Relationship Id="rId2" Type="http://schemas.openxmlformats.org/officeDocument/2006/relationships/image" Target="../media/image3.png"/><Relationship Id="rId16" Type="http://schemas.openxmlformats.org/officeDocument/2006/relationships/chart" Target="../charts/chart13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chart" Target="../charts/chart9.xml"/><Relationship Id="rId5" Type="http://schemas.openxmlformats.org/officeDocument/2006/relationships/chart" Target="../charts/chart4.xml"/><Relationship Id="rId15" Type="http://schemas.openxmlformats.org/officeDocument/2006/relationships/chart" Target="../charts/chart12.xml"/><Relationship Id="rId10" Type="http://schemas.openxmlformats.org/officeDocument/2006/relationships/chart" Target="../charts/chart8.xml"/><Relationship Id="rId4" Type="http://schemas.openxmlformats.org/officeDocument/2006/relationships/image" Target="../media/image5.png"/><Relationship Id="rId9" Type="http://schemas.openxmlformats.org/officeDocument/2006/relationships/chart" Target="../charts/chart7.xml"/><Relationship Id="rId1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330319</xdr:colOff>
      <xdr:row>0</xdr:row>
      <xdr:rowOff>0</xdr:rowOff>
    </xdr:from>
    <xdr:to>
      <xdr:col>2</xdr:col>
      <xdr:colOff>2647950</xdr:colOff>
      <xdr:row>0</xdr:row>
      <xdr:rowOff>882087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4B11843-CC6C-4A5E-AD2A-590675859F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587494" y="0"/>
          <a:ext cx="2727206" cy="882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274401</xdr:colOff>
      <xdr:row>0</xdr:row>
      <xdr:rowOff>0</xdr:rowOff>
    </xdr:from>
    <xdr:to>
      <xdr:col>13</xdr:col>
      <xdr:colOff>78232</xdr:colOff>
      <xdr:row>4</xdr:row>
      <xdr:rowOff>17286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A064F4-6D1F-4159-A012-9CB2F95B86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7300489" y="0"/>
          <a:ext cx="2369978" cy="768080"/>
        </a:xfrm>
        <a:prstGeom prst="rect">
          <a:avLst/>
        </a:prstGeom>
      </xdr:spPr>
    </xdr:pic>
    <xdr:clientData/>
  </xdr:twoCellAnchor>
  <xdr:twoCellAnchor>
    <xdr:from>
      <xdr:col>1</xdr:col>
      <xdr:colOff>381734</xdr:colOff>
      <xdr:row>47</xdr:row>
      <xdr:rowOff>122464</xdr:rowOff>
    </xdr:from>
    <xdr:to>
      <xdr:col>7</xdr:col>
      <xdr:colOff>363582</xdr:colOff>
      <xdr:row>63</xdr:row>
      <xdr:rowOff>65660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62F8A3D-4B9E-40CB-A0F5-E5F2863E5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190342</xdr:colOff>
      <xdr:row>66</xdr:row>
      <xdr:rowOff>63296</xdr:rowOff>
    </xdr:from>
    <xdr:to>
      <xdr:col>11</xdr:col>
      <xdr:colOff>95138</xdr:colOff>
      <xdr:row>83</xdr:row>
      <xdr:rowOff>176941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6AA3611-32FD-4F72-8657-F4924188C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1074726</xdr:colOff>
      <xdr:row>41</xdr:row>
      <xdr:rowOff>107241</xdr:rowOff>
    </xdr:from>
    <xdr:to>
      <xdr:col>12</xdr:col>
      <xdr:colOff>505783</xdr:colOff>
      <xdr:row>43</xdr:row>
      <xdr:rowOff>4177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7583127-EEB8-4080-ABFD-9A519CB626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7876697" y="11615682"/>
          <a:ext cx="1347262" cy="457230"/>
        </a:xfrm>
        <a:prstGeom prst="rect">
          <a:avLst/>
        </a:prstGeom>
      </xdr:spPr>
    </xdr:pic>
    <xdr:clientData/>
  </xdr:twoCellAnchor>
  <xdr:twoCellAnchor editAs="oneCell">
    <xdr:from>
      <xdr:col>9</xdr:col>
      <xdr:colOff>1148706</xdr:colOff>
      <xdr:row>83</xdr:row>
      <xdr:rowOff>227869</xdr:rowOff>
    </xdr:from>
    <xdr:to>
      <xdr:col>12</xdr:col>
      <xdr:colOff>592538</xdr:colOff>
      <xdr:row>85</xdr:row>
      <xdr:rowOff>101369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C38D5A0-4089-4E60-94C1-D057F32632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7950677" y="23502487"/>
          <a:ext cx="1360037" cy="433794"/>
        </a:xfrm>
        <a:prstGeom prst="rect">
          <a:avLst/>
        </a:prstGeom>
      </xdr:spPr>
    </xdr:pic>
    <xdr:clientData/>
  </xdr:twoCellAnchor>
  <xdr:twoCellAnchor editAs="oneCell">
    <xdr:from>
      <xdr:col>9</xdr:col>
      <xdr:colOff>1204827</xdr:colOff>
      <xdr:row>64</xdr:row>
      <xdr:rowOff>1118</xdr:rowOff>
    </xdr:from>
    <xdr:to>
      <xdr:col>13</xdr:col>
      <xdr:colOff>22412</xdr:colOff>
      <xdr:row>65</xdr:row>
      <xdr:rowOff>172821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EC40A691-B7DC-4378-85C7-44CA86E17C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8006798" y="17952942"/>
          <a:ext cx="1327702" cy="451850"/>
        </a:xfrm>
        <a:prstGeom prst="rect">
          <a:avLst/>
        </a:prstGeom>
      </xdr:spPr>
    </xdr:pic>
    <xdr:clientData/>
  </xdr:twoCellAnchor>
  <xdr:twoCellAnchor>
    <xdr:from>
      <xdr:col>5</xdr:col>
      <xdr:colOff>771525</xdr:colOff>
      <xdr:row>47</xdr:row>
      <xdr:rowOff>130084</xdr:rowOff>
    </xdr:from>
    <xdr:to>
      <xdr:col>11</xdr:col>
      <xdr:colOff>87357</xdr:colOff>
      <xdr:row>63</xdr:row>
      <xdr:rowOff>63755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80CE7EB3-5769-4939-9146-F33A07134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342130</xdr:colOff>
      <xdr:row>2</xdr:row>
      <xdr:rowOff>86269</xdr:rowOff>
    </xdr:from>
    <xdr:to>
      <xdr:col>87</xdr:col>
      <xdr:colOff>417541</xdr:colOff>
      <xdr:row>30</xdr:row>
      <xdr:rowOff>66433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990F627-B802-428F-8A16-0145262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4290" y="452029"/>
          <a:ext cx="6781011" cy="5117773"/>
        </a:xfrm>
        <a:prstGeom prst="rect">
          <a:avLst/>
        </a:prstGeom>
      </xdr:spPr>
    </xdr:pic>
    <xdr:clientData/>
  </xdr:twoCellAnchor>
  <xdr:twoCellAnchor editAs="oneCell">
    <xdr:from>
      <xdr:col>77</xdr:col>
      <xdr:colOff>164262</xdr:colOff>
      <xdr:row>28</xdr:row>
      <xdr:rowOff>181794</xdr:rowOff>
    </xdr:from>
    <xdr:to>
      <xdr:col>82</xdr:col>
      <xdr:colOff>418094</xdr:colOff>
      <xdr:row>42</xdr:row>
      <xdr:rowOff>186074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F1B8263-7C00-4605-AD5B-D43B793BC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16022" y="5302434"/>
          <a:ext cx="3301834" cy="2579391"/>
        </a:xfrm>
        <a:prstGeom prst="rect">
          <a:avLst/>
        </a:prstGeom>
      </xdr:spPr>
    </xdr:pic>
    <xdr:clientData/>
  </xdr:twoCellAnchor>
  <xdr:twoCellAnchor editAs="oneCell">
    <xdr:from>
      <xdr:col>89</xdr:col>
      <xdr:colOff>150224</xdr:colOff>
      <xdr:row>37</xdr:row>
      <xdr:rowOff>14151</xdr:rowOff>
    </xdr:from>
    <xdr:to>
      <xdr:col>103</xdr:col>
      <xdr:colOff>225353</xdr:colOff>
      <xdr:row>62</xdr:row>
      <xdr:rowOff>156666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30B0760-E326-4C74-9CE0-B7BC08DD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217184" y="6780711"/>
          <a:ext cx="8609528" cy="4720006"/>
        </a:xfrm>
        <a:prstGeom prst="rect">
          <a:avLst/>
        </a:prstGeom>
      </xdr:spPr>
    </xdr:pic>
    <xdr:clientData/>
  </xdr:twoCellAnchor>
  <xdr:twoCellAnchor editAs="oneCell">
    <xdr:from>
      <xdr:col>88</xdr:col>
      <xdr:colOff>245746</xdr:colOff>
      <xdr:row>6</xdr:row>
      <xdr:rowOff>89262</xdr:rowOff>
    </xdr:from>
    <xdr:to>
      <xdr:col>102</xdr:col>
      <xdr:colOff>38966</xdr:colOff>
      <xdr:row>42</xdr:row>
      <xdr:rowOff>32296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BF487C9-180D-4083-9466-7E1D840FD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077575" y="1188719"/>
          <a:ext cx="8327620" cy="6617978"/>
        </a:xfrm>
        <a:prstGeom prst="rect">
          <a:avLst/>
        </a:prstGeom>
      </xdr:spPr>
    </xdr:pic>
    <xdr:clientData/>
  </xdr:twoCellAnchor>
  <xdr:twoCellAnchor editAs="oneCell">
    <xdr:from>
      <xdr:col>78</xdr:col>
      <xdr:colOff>88984</xdr:colOff>
      <xdr:row>79</xdr:row>
      <xdr:rowOff>8404</xdr:rowOff>
    </xdr:from>
    <xdr:to>
      <xdr:col>86</xdr:col>
      <xdr:colOff>56718</xdr:colOff>
      <xdr:row>100</xdr:row>
      <xdr:rowOff>977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5AF1E50C-69B8-4F54-85C5-B42DA8742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50344" y="14455924"/>
          <a:ext cx="4855963" cy="3833052"/>
        </a:xfrm>
        <a:prstGeom prst="rect">
          <a:avLst/>
        </a:prstGeom>
      </xdr:spPr>
    </xdr:pic>
    <xdr:clientData/>
  </xdr:twoCellAnchor>
  <xdr:twoCellAnchor>
    <xdr:from>
      <xdr:col>68</xdr:col>
      <xdr:colOff>198071</xdr:colOff>
      <xdr:row>0</xdr:row>
      <xdr:rowOff>0</xdr:rowOff>
    </xdr:from>
    <xdr:to>
      <xdr:col>75</xdr:col>
      <xdr:colOff>499577</xdr:colOff>
      <xdr:row>15</xdr:row>
      <xdr:rowOff>33985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4F1D976-5109-4772-8309-FD62FE95F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77</xdr:col>
      <xdr:colOff>412702</xdr:colOff>
      <xdr:row>44</xdr:row>
      <xdr:rowOff>18377</xdr:rowOff>
    </xdr:from>
    <xdr:to>
      <xdr:col>87</xdr:col>
      <xdr:colOff>213121</xdr:colOff>
      <xdr:row>77</xdr:row>
      <xdr:rowOff>5802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B924230B-F9F5-4E17-A11D-675F85A98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164462" y="8065097"/>
          <a:ext cx="5905945" cy="6033671"/>
        </a:xfrm>
        <a:prstGeom prst="rect">
          <a:avLst/>
        </a:prstGeom>
      </xdr:spPr>
    </xdr:pic>
    <xdr:clientData/>
  </xdr:twoCellAnchor>
  <xdr:twoCellAnchor>
    <xdr:from>
      <xdr:col>68</xdr:col>
      <xdr:colOff>75008</xdr:colOff>
      <xdr:row>15</xdr:row>
      <xdr:rowOff>21168</xdr:rowOff>
    </xdr:from>
    <xdr:to>
      <xdr:col>75</xdr:col>
      <xdr:colOff>398939</xdr:colOff>
      <xdr:row>29</xdr:row>
      <xdr:rowOff>95686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1E24CCE7-F669-41B6-BF63-F359DB044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68</xdr:col>
      <xdr:colOff>21667</xdr:colOff>
      <xdr:row>30</xdr:row>
      <xdr:rowOff>65429</xdr:rowOff>
    </xdr:from>
    <xdr:to>
      <xdr:col>75</xdr:col>
      <xdr:colOff>332263</xdr:colOff>
      <xdr:row>44</xdr:row>
      <xdr:rowOff>130695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7FCE9A5F-5567-4416-9B1F-D68EE0210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68</xdr:col>
      <xdr:colOff>349970</xdr:colOff>
      <xdr:row>46</xdr:row>
      <xdr:rowOff>116296</xdr:rowOff>
    </xdr:from>
    <xdr:to>
      <xdr:col>76</xdr:col>
      <xdr:colOff>52871</xdr:colOff>
      <xdr:row>61</xdr:row>
      <xdr:rowOff>15826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52712373-77D9-43BC-9F05-A68E773F1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68</xdr:col>
      <xdr:colOff>177404</xdr:colOff>
      <xdr:row>63</xdr:row>
      <xdr:rowOff>145935</xdr:rowOff>
    </xdr:from>
    <xdr:to>
      <xdr:col>75</xdr:col>
      <xdr:colOff>501683</xdr:colOff>
      <xdr:row>78</xdr:row>
      <xdr:rowOff>21944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24184BBE-162A-44C9-84C2-610F64164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132669</xdr:colOff>
      <xdr:row>3</xdr:row>
      <xdr:rowOff>34730</xdr:rowOff>
    </xdr:from>
    <xdr:to>
      <xdr:col>63</xdr:col>
      <xdr:colOff>191553</xdr:colOff>
      <xdr:row>41</xdr:row>
      <xdr:rowOff>70334</xdr:rowOff>
    </xdr:to>
    <xdr:graphicFrame macro="">
      <xdr:nvGraphicFramePr>
        <xdr:cNvPr id="23" name="Graf 22">
          <a:extLst>
            <a:ext uri="{FF2B5EF4-FFF2-40B4-BE49-F238E27FC236}">
              <a16:creationId xmlns:a16="http://schemas.microsoft.com/office/drawing/2014/main" id="{4E851E50-8E37-4735-AACD-644E39EF5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89</xdr:col>
      <xdr:colOff>0</xdr:colOff>
      <xdr:row>63</xdr:row>
      <xdr:rowOff>152400</xdr:rowOff>
    </xdr:from>
    <xdr:to>
      <xdr:col>96</xdr:col>
      <xdr:colOff>342325</xdr:colOff>
      <xdr:row>105</xdr:row>
      <xdr:rowOff>18104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7D5F0D2-35DC-4196-ACE4-822406BE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441429" y="11800114"/>
          <a:ext cx="4609524" cy="7653345"/>
        </a:xfrm>
        <a:prstGeom prst="rect">
          <a:avLst/>
        </a:prstGeom>
      </xdr:spPr>
    </xdr:pic>
    <xdr:clientData/>
  </xdr:twoCellAnchor>
  <xdr:twoCellAnchor>
    <xdr:from>
      <xdr:col>21</xdr:col>
      <xdr:colOff>368249</xdr:colOff>
      <xdr:row>101</xdr:row>
      <xdr:rowOff>172384</xdr:rowOff>
    </xdr:from>
    <xdr:to>
      <xdr:col>44</xdr:col>
      <xdr:colOff>24361</xdr:colOff>
      <xdr:row>140</xdr:row>
      <xdr:rowOff>17990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908E4B73-7FD0-4B37-8C1E-736471009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49</xdr:col>
      <xdr:colOff>291658</xdr:colOff>
      <xdr:row>42</xdr:row>
      <xdr:rowOff>9763</xdr:rowOff>
    </xdr:from>
    <xdr:to>
      <xdr:col>59</xdr:col>
      <xdr:colOff>395112</xdr:colOff>
      <xdr:row>75</xdr:row>
      <xdr:rowOff>37473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FACB8CC4-2B26-48DB-8BF1-D85041D49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45</xdr:col>
      <xdr:colOff>429491</xdr:colOff>
      <xdr:row>76</xdr:row>
      <xdr:rowOff>19396</xdr:rowOff>
    </xdr:from>
    <xdr:to>
      <xdr:col>59</xdr:col>
      <xdr:colOff>346363</xdr:colOff>
      <xdr:row>102</xdr:row>
      <xdr:rowOff>41563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0AD398F-EFE3-4AC7-ABBA-5F947CE35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59</xdr:col>
      <xdr:colOff>451555</xdr:colOff>
      <xdr:row>42</xdr:row>
      <xdr:rowOff>0</xdr:rowOff>
    </xdr:from>
    <xdr:to>
      <xdr:col>72</xdr:col>
      <xdr:colOff>70556</xdr:colOff>
      <xdr:row>75</xdr:row>
      <xdr:rowOff>70555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5634648C-9B81-4984-B119-0B788ABE6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202193</xdr:colOff>
      <xdr:row>22</xdr:row>
      <xdr:rowOff>97791</xdr:rowOff>
    </xdr:from>
    <xdr:to>
      <xdr:col>32</xdr:col>
      <xdr:colOff>173354</xdr:colOff>
      <xdr:row>47</xdr:row>
      <xdr:rowOff>21591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805D639-042E-4913-8319-E8CC15F90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CDF5-02CC-42B2-BF06-B83AC9D4280D}">
  <dimension ref="B1:C24"/>
  <sheetViews>
    <sheetView tabSelected="1" workbookViewId="0">
      <selection activeCell="C3" sqref="C3"/>
    </sheetView>
  </sheetViews>
  <sheetFormatPr defaultRowHeight="15" x14ac:dyDescent="0.25"/>
  <cols>
    <col min="1" max="1" width="3.7109375" customWidth="1"/>
    <col min="2" max="2" width="6" customWidth="1"/>
    <col min="3" max="3" width="101.140625" customWidth="1"/>
  </cols>
  <sheetData>
    <row r="1" spans="2:3" ht="81.599999999999994" customHeight="1" x14ac:dyDescent="0.25"/>
    <row r="2" spans="2:3" x14ac:dyDescent="0.25">
      <c r="C2" s="24" t="s">
        <v>397</v>
      </c>
    </row>
    <row r="3" spans="2:3" ht="165" x14ac:dyDescent="0.25">
      <c r="C3" s="57" t="s">
        <v>398</v>
      </c>
    </row>
    <row r="4" spans="2:3" x14ac:dyDescent="0.25">
      <c r="C4" s="57"/>
    </row>
    <row r="5" spans="2:3" x14ac:dyDescent="0.25">
      <c r="C5" t="s">
        <v>399</v>
      </c>
    </row>
    <row r="6" spans="2:3" ht="15.75" thickBot="1" x14ac:dyDescent="0.3">
      <c r="B6" s="58" t="s">
        <v>352</v>
      </c>
      <c r="C6" s="58"/>
    </row>
    <row r="7" spans="2:3" ht="15.75" thickBot="1" x14ac:dyDescent="0.3">
      <c r="B7" s="59"/>
      <c r="C7" s="58" t="s">
        <v>400</v>
      </c>
    </row>
    <row r="8" spans="2:3" ht="15.75" thickBot="1" x14ac:dyDescent="0.3">
      <c r="B8" s="60"/>
      <c r="C8" s="58" t="s">
        <v>401</v>
      </c>
    </row>
    <row r="9" spans="2:3" ht="15.75" thickBot="1" x14ac:dyDescent="0.3">
      <c r="B9" s="61"/>
      <c r="C9" s="58" t="s">
        <v>402</v>
      </c>
    </row>
    <row r="11" spans="2:3" x14ac:dyDescent="0.25">
      <c r="C11" s="62" t="s">
        <v>403</v>
      </c>
    </row>
    <row r="12" spans="2:3" ht="45" x14ac:dyDescent="0.25">
      <c r="C12" s="43" t="s">
        <v>404</v>
      </c>
    </row>
    <row r="13" spans="2:3" x14ac:dyDescent="0.25">
      <c r="C13" s="43"/>
    </row>
    <row r="14" spans="2:3" ht="45" x14ac:dyDescent="0.25">
      <c r="C14" s="43" t="s">
        <v>405</v>
      </c>
    </row>
    <row r="15" spans="2:3" ht="210" x14ac:dyDescent="0.25">
      <c r="C15" s="43" t="s">
        <v>406</v>
      </c>
    </row>
    <row r="16" spans="2:3" x14ac:dyDescent="0.25">
      <c r="C16" s="43"/>
    </row>
    <row r="17" spans="3:3" ht="75" x14ac:dyDescent="0.25">
      <c r="C17" s="43" t="s">
        <v>407</v>
      </c>
    </row>
    <row r="19" spans="3:3" ht="105" x14ac:dyDescent="0.25">
      <c r="C19" s="43" t="s">
        <v>408</v>
      </c>
    </row>
    <row r="21" spans="3:3" x14ac:dyDescent="0.25">
      <c r="C21" s="24" t="s">
        <v>409</v>
      </c>
    </row>
    <row r="22" spans="3:3" ht="195" x14ac:dyDescent="0.25">
      <c r="C22" s="57" t="s">
        <v>410</v>
      </c>
    </row>
    <row r="24" spans="3:3" x14ac:dyDescent="0.25">
      <c r="C24" t="s">
        <v>411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F514-ECB3-419B-92F8-E95BC989D60E}">
  <dimension ref="A1:H159"/>
  <sheetViews>
    <sheetView topLeftCell="A107" workbookViewId="0">
      <selection activeCell="K119" sqref="K119"/>
    </sheetView>
  </sheetViews>
  <sheetFormatPr defaultRowHeight="15" x14ac:dyDescent="0.25"/>
  <sheetData>
    <row r="1" spans="1:8" x14ac:dyDescent="0.25">
      <c r="C1" t="s">
        <v>256</v>
      </c>
    </row>
    <row r="2" spans="1:8" x14ac:dyDescent="0.25">
      <c r="C2" t="s">
        <v>252</v>
      </c>
      <c r="D2" s="2"/>
      <c r="F2" s="10">
        <v>35</v>
      </c>
      <c r="G2" s="37" t="s">
        <v>252</v>
      </c>
      <c r="H2" s="10">
        <v>124</v>
      </c>
    </row>
    <row r="3" spans="1:8" x14ac:dyDescent="0.25">
      <c r="A3" t="s">
        <v>257</v>
      </c>
      <c r="B3">
        <v>124</v>
      </c>
      <c r="C3" s="2">
        <v>22.9</v>
      </c>
      <c r="D3" s="2">
        <v>4.5999999999999996</v>
      </c>
      <c r="F3" s="10">
        <v>35</v>
      </c>
      <c r="G3" s="37" t="s">
        <v>253</v>
      </c>
      <c r="H3" s="10">
        <v>125</v>
      </c>
    </row>
    <row r="4" spans="1:8" x14ac:dyDescent="0.25">
      <c r="A4" t="s">
        <v>257</v>
      </c>
      <c r="C4" s="2">
        <v>22.9</v>
      </c>
      <c r="D4" s="2">
        <v>4.5999999999999996</v>
      </c>
      <c r="F4" s="10">
        <v>35</v>
      </c>
      <c r="G4" s="37" t="s">
        <v>254</v>
      </c>
      <c r="H4" s="10">
        <v>126</v>
      </c>
    </row>
    <row r="5" spans="1:8" x14ac:dyDescent="0.25">
      <c r="A5" t="s">
        <v>257</v>
      </c>
      <c r="C5" s="2">
        <v>22.9</v>
      </c>
      <c r="D5" s="2">
        <v>4.5999999999999996</v>
      </c>
      <c r="F5" s="10">
        <v>35</v>
      </c>
      <c r="G5" s="37" t="s">
        <v>255</v>
      </c>
      <c r="H5" s="10">
        <v>127</v>
      </c>
    </row>
    <row r="6" spans="1:8" x14ac:dyDescent="0.25">
      <c r="A6" t="s">
        <v>257</v>
      </c>
      <c r="C6" s="2">
        <v>22.9</v>
      </c>
      <c r="D6" s="2">
        <v>4.5999999999999996</v>
      </c>
      <c r="F6" s="10">
        <v>35</v>
      </c>
      <c r="G6" s="37" t="s">
        <v>141</v>
      </c>
      <c r="H6" s="10">
        <v>128</v>
      </c>
    </row>
    <row r="7" spans="1:8" x14ac:dyDescent="0.25">
      <c r="A7" t="s">
        <v>257</v>
      </c>
      <c r="C7" s="2">
        <v>22.9</v>
      </c>
      <c r="D7" s="2">
        <v>4.5999999999999996</v>
      </c>
      <c r="F7" s="10">
        <v>35</v>
      </c>
      <c r="G7" s="37" t="s">
        <v>142</v>
      </c>
      <c r="H7" s="10">
        <v>129</v>
      </c>
    </row>
    <row r="8" spans="1:8" x14ac:dyDescent="0.25">
      <c r="F8" s="10">
        <v>35</v>
      </c>
      <c r="G8" s="37" t="s">
        <v>143</v>
      </c>
      <c r="H8" s="10">
        <v>130</v>
      </c>
    </row>
    <row r="9" spans="1:8" x14ac:dyDescent="0.25">
      <c r="A9" t="s">
        <v>258</v>
      </c>
      <c r="B9">
        <v>132</v>
      </c>
      <c r="C9" s="2">
        <v>23.1</v>
      </c>
      <c r="D9" s="2">
        <v>3.6</v>
      </c>
      <c r="F9" s="10">
        <v>35</v>
      </c>
      <c r="G9" s="37" t="s">
        <v>144</v>
      </c>
      <c r="H9" s="10">
        <v>131</v>
      </c>
    </row>
    <row r="10" spans="1:8" x14ac:dyDescent="0.25">
      <c r="A10" t="s">
        <v>258</v>
      </c>
      <c r="C10" s="2">
        <v>23.1</v>
      </c>
      <c r="D10" s="2">
        <v>3.6</v>
      </c>
      <c r="F10" s="10"/>
      <c r="G10" s="10"/>
      <c r="H10" s="10"/>
    </row>
    <row r="11" spans="1:8" x14ac:dyDescent="0.25">
      <c r="A11" t="s">
        <v>258</v>
      </c>
      <c r="C11" s="2">
        <v>23.1</v>
      </c>
      <c r="D11" s="2">
        <v>3.6</v>
      </c>
      <c r="F11" s="10">
        <v>45</v>
      </c>
      <c r="G11" s="37" t="s">
        <v>252</v>
      </c>
      <c r="H11" s="10">
        <v>132</v>
      </c>
    </row>
    <row r="12" spans="1:8" x14ac:dyDescent="0.25">
      <c r="A12" t="s">
        <v>258</v>
      </c>
      <c r="C12" s="2">
        <v>23.1</v>
      </c>
      <c r="D12" s="2">
        <v>3.6</v>
      </c>
      <c r="F12" s="10">
        <v>45</v>
      </c>
      <c r="G12" s="37" t="s">
        <v>253</v>
      </c>
      <c r="H12" s="10">
        <v>133</v>
      </c>
    </row>
    <row r="13" spans="1:8" x14ac:dyDescent="0.25">
      <c r="A13" t="s">
        <v>258</v>
      </c>
      <c r="C13" s="2">
        <v>23.1</v>
      </c>
      <c r="D13" s="2">
        <v>3.6</v>
      </c>
      <c r="F13" s="10">
        <v>45</v>
      </c>
      <c r="G13" s="37" t="s">
        <v>254</v>
      </c>
      <c r="H13" s="10">
        <v>134</v>
      </c>
    </row>
    <row r="14" spans="1:8" x14ac:dyDescent="0.25">
      <c r="F14" s="10">
        <v>45</v>
      </c>
      <c r="G14" s="37" t="s">
        <v>255</v>
      </c>
      <c r="H14" s="10">
        <v>135</v>
      </c>
    </row>
    <row r="15" spans="1:8" x14ac:dyDescent="0.25">
      <c r="A15" t="s">
        <v>259</v>
      </c>
      <c r="B15">
        <v>140</v>
      </c>
      <c r="C15" s="2">
        <v>23.3</v>
      </c>
      <c r="D15" s="2">
        <v>3</v>
      </c>
      <c r="F15" s="10">
        <v>45</v>
      </c>
      <c r="G15" s="37" t="s">
        <v>141</v>
      </c>
      <c r="H15" s="10">
        <v>136</v>
      </c>
    </row>
    <row r="16" spans="1:8" x14ac:dyDescent="0.25">
      <c r="A16" t="s">
        <v>259</v>
      </c>
      <c r="C16" s="2">
        <v>23.3</v>
      </c>
      <c r="D16" s="2">
        <v>3</v>
      </c>
      <c r="F16" s="10">
        <v>45</v>
      </c>
      <c r="G16" s="37" t="s">
        <v>142</v>
      </c>
      <c r="H16" s="10">
        <v>137</v>
      </c>
    </row>
    <row r="17" spans="1:8" x14ac:dyDescent="0.25">
      <c r="A17" t="s">
        <v>259</v>
      </c>
      <c r="C17" s="2">
        <v>23.3</v>
      </c>
      <c r="D17" s="2">
        <v>3</v>
      </c>
      <c r="F17" s="10">
        <v>45</v>
      </c>
      <c r="G17" s="37" t="s">
        <v>143</v>
      </c>
      <c r="H17" s="10">
        <v>138</v>
      </c>
    </row>
    <row r="18" spans="1:8" x14ac:dyDescent="0.25">
      <c r="A18" t="s">
        <v>259</v>
      </c>
      <c r="C18" s="2">
        <v>23.3</v>
      </c>
      <c r="D18" s="2">
        <v>3</v>
      </c>
      <c r="F18" s="10">
        <v>45</v>
      </c>
      <c r="G18" s="37" t="s">
        <v>144</v>
      </c>
      <c r="H18" s="10">
        <v>139</v>
      </c>
    </row>
    <row r="19" spans="1:8" x14ac:dyDescent="0.25">
      <c r="A19" t="s">
        <v>259</v>
      </c>
      <c r="C19" s="2">
        <v>23.3</v>
      </c>
      <c r="D19" s="2">
        <v>3</v>
      </c>
      <c r="F19" s="10"/>
      <c r="G19" s="10"/>
      <c r="H19" s="10"/>
    </row>
    <row r="20" spans="1:8" x14ac:dyDescent="0.25">
      <c r="F20" s="10">
        <v>55</v>
      </c>
      <c r="G20" s="37" t="s">
        <v>252</v>
      </c>
      <c r="H20" s="10">
        <v>140</v>
      </c>
    </row>
    <row r="21" spans="1:8" x14ac:dyDescent="0.25">
      <c r="C21" t="s">
        <v>256</v>
      </c>
      <c r="F21" s="10">
        <v>55</v>
      </c>
      <c r="G21" s="37" t="s">
        <v>253</v>
      </c>
      <c r="H21" s="10">
        <v>141</v>
      </c>
    </row>
    <row r="22" spans="1:8" x14ac:dyDescent="0.25">
      <c r="C22" t="s">
        <v>253</v>
      </c>
      <c r="F22" s="10">
        <v>55</v>
      </c>
      <c r="G22" s="37" t="s">
        <v>254</v>
      </c>
      <c r="H22" s="10">
        <v>142</v>
      </c>
    </row>
    <row r="23" spans="1:8" x14ac:dyDescent="0.25">
      <c r="A23" t="s">
        <v>257</v>
      </c>
      <c r="B23">
        <v>128</v>
      </c>
      <c r="C23" s="2">
        <v>28.9</v>
      </c>
      <c r="D23">
        <v>4.5999999999999996</v>
      </c>
      <c r="F23" s="10">
        <v>55</v>
      </c>
      <c r="G23" s="37" t="s">
        <v>255</v>
      </c>
      <c r="H23" s="10">
        <v>143</v>
      </c>
    </row>
    <row r="24" spans="1:8" x14ac:dyDescent="0.25">
      <c r="A24" t="s">
        <v>257</v>
      </c>
      <c r="C24" s="2">
        <v>28.9</v>
      </c>
      <c r="D24">
        <v>4.5999999999999996</v>
      </c>
      <c r="F24" s="10">
        <v>55</v>
      </c>
      <c r="G24" s="37" t="s">
        <v>141</v>
      </c>
      <c r="H24" s="10">
        <v>144</v>
      </c>
    </row>
    <row r="25" spans="1:8" x14ac:dyDescent="0.25">
      <c r="A25" t="s">
        <v>257</v>
      </c>
      <c r="C25" s="2">
        <v>28.9</v>
      </c>
      <c r="D25">
        <v>4.5999999999999996</v>
      </c>
      <c r="F25" s="10">
        <v>55</v>
      </c>
      <c r="G25" s="37" t="s">
        <v>142</v>
      </c>
      <c r="H25" s="10">
        <v>145</v>
      </c>
    </row>
    <row r="26" spans="1:8" x14ac:dyDescent="0.25">
      <c r="A26" t="s">
        <v>257</v>
      </c>
      <c r="C26" s="2">
        <v>28.9</v>
      </c>
      <c r="D26">
        <v>4.5999999999999996</v>
      </c>
      <c r="F26" s="10">
        <v>55</v>
      </c>
      <c r="G26" s="37" t="s">
        <v>143</v>
      </c>
      <c r="H26" s="10">
        <v>146</v>
      </c>
    </row>
    <row r="27" spans="1:8" x14ac:dyDescent="0.25">
      <c r="A27" t="s">
        <v>257</v>
      </c>
      <c r="C27" s="2">
        <v>28.9</v>
      </c>
      <c r="D27">
        <v>4.5999999999999996</v>
      </c>
      <c r="F27" s="10">
        <v>55</v>
      </c>
      <c r="G27" s="37" t="s">
        <v>144</v>
      </c>
      <c r="H27" s="10">
        <v>147</v>
      </c>
    </row>
    <row r="29" spans="1:8" x14ac:dyDescent="0.25">
      <c r="A29" t="s">
        <v>258</v>
      </c>
      <c r="B29">
        <v>133</v>
      </c>
      <c r="C29" s="2">
        <v>29.1</v>
      </c>
      <c r="D29">
        <v>3.7</v>
      </c>
    </row>
    <row r="30" spans="1:8" x14ac:dyDescent="0.25">
      <c r="A30" t="s">
        <v>258</v>
      </c>
      <c r="C30" s="2">
        <v>29.1</v>
      </c>
      <c r="D30">
        <v>3.7</v>
      </c>
    </row>
    <row r="31" spans="1:8" x14ac:dyDescent="0.25">
      <c r="A31" t="s">
        <v>258</v>
      </c>
      <c r="C31" s="2">
        <v>29.1</v>
      </c>
      <c r="D31">
        <v>3.7</v>
      </c>
    </row>
    <row r="32" spans="1:8" x14ac:dyDescent="0.25">
      <c r="A32" t="s">
        <v>258</v>
      </c>
      <c r="C32" s="2">
        <v>29.1</v>
      </c>
      <c r="D32">
        <v>3.7</v>
      </c>
    </row>
    <row r="33" spans="1:4" x14ac:dyDescent="0.25">
      <c r="A33" t="s">
        <v>258</v>
      </c>
      <c r="C33" s="2">
        <v>29.1</v>
      </c>
      <c r="D33">
        <v>3.7</v>
      </c>
    </row>
    <row r="35" spans="1:4" x14ac:dyDescent="0.25">
      <c r="A35" t="s">
        <v>259</v>
      </c>
      <c r="B35">
        <v>141</v>
      </c>
      <c r="C35" s="2">
        <v>29.3</v>
      </c>
      <c r="D35">
        <v>3.1</v>
      </c>
    </row>
    <row r="36" spans="1:4" x14ac:dyDescent="0.25">
      <c r="A36" t="s">
        <v>259</v>
      </c>
      <c r="C36" s="2">
        <v>29.3</v>
      </c>
      <c r="D36">
        <v>3.1</v>
      </c>
    </row>
    <row r="37" spans="1:4" x14ac:dyDescent="0.25">
      <c r="A37" t="s">
        <v>259</v>
      </c>
      <c r="C37" s="2">
        <v>29.3</v>
      </c>
      <c r="D37">
        <v>3.1</v>
      </c>
    </row>
    <row r="38" spans="1:4" x14ac:dyDescent="0.25">
      <c r="A38" t="s">
        <v>259</v>
      </c>
      <c r="C38" s="2">
        <v>29.3</v>
      </c>
      <c r="D38">
        <v>3.1</v>
      </c>
    </row>
    <row r="39" spans="1:4" x14ac:dyDescent="0.25">
      <c r="A39" t="s">
        <v>259</v>
      </c>
      <c r="C39" s="2">
        <v>29.3</v>
      </c>
      <c r="D39">
        <v>3.1</v>
      </c>
    </row>
    <row r="41" spans="1:4" x14ac:dyDescent="0.25">
      <c r="C41" t="s">
        <v>256</v>
      </c>
    </row>
    <row r="42" spans="1:4" x14ac:dyDescent="0.25">
      <c r="C42" t="s">
        <v>254</v>
      </c>
    </row>
    <row r="43" spans="1:4" x14ac:dyDescent="0.25">
      <c r="A43" t="s">
        <v>257</v>
      </c>
      <c r="B43">
        <v>126</v>
      </c>
      <c r="C43" s="2">
        <v>38.700000000000003</v>
      </c>
      <c r="D43">
        <v>4.5</v>
      </c>
    </row>
    <row r="44" spans="1:4" x14ac:dyDescent="0.25">
      <c r="A44" t="s">
        <v>257</v>
      </c>
      <c r="C44" s="2">
        <v>38.700000000000003</v>
      </c>
      <c r="D44">
        <v>4.5</v>
      </c>
    </row>
    <row r="45" spans="1:4" x14ac:dyDescent="0.25">
      <c r="A45" t="s">
        <v>257</v>
      </c>
      <c r="C45" s="2">
        <v>38.700000000000003</v>
      </c>
      <c r="D45">
        <v>4.5</v>
      </c>
    </row>
    <row r="46" spans="1:4" x14ac:dyDescent="0.25">
      <c r="A46" t="s">
        <v>257</v>
      </c>
      <c r="C46" s="2">
        <v>38.700000000000003</v>
      </c>
      <c r="D46">
        <v>4.5</v>
      </c>
    </row>
    <row r="47" spans="1:4" x14ac:dyDescent="0.25">
      <c r="A47" t="s">
        <v>257</v>
      </c>
      <c r="C47" s="2">
        <v>38.700000000000003</v>
      </c>
      <c r="D47">
        <v>4.5</v>
      </c>
    </row>
    <row r="49" spans="1:4" x14ac:dyDescent="0.25">
      <c r="A49" t="s">
        <v>258</v>
      </c>
      <c r="B49">
        <v>134</v>
      </c>
      <c r="C49" s="2">
        <v>38.5</v>
      </c>
      <c r="D49">
        <v>3.6</v>
      </c>
    </row>
    <row r="50" spans="1:4" x14ac:dyDescent="0.25">
      <c r="A50" t="s">
        <v>258</v>
      </c>
      <c r="C50" s="2">
        <v>38.5</v>
      </c>
      <c r="D50">
        <v>3.6</v>
      </c>
    </row>
    <row r="51" spans="1:4" x14ac:dyDescent="0.25">
      <c r="A51" t="s">
        <v>258</v>
      </c>
      <c r="C51" s="2">
        <v>38.5</v>
      </c>
      <c r="D51">
        <v>3.6</v>
      </c>
    </row>
    <row r="52" spans="1:4" x14ac:dyDescent="0.25">
      <c r="A52" t="s">
        <v>258</v>
      </c>
      <c r="C52" s="2">
        <v>38.5</v>
      </c>
      <c r="D52">
        <v>3.6</v>
      </c>
    </row>
    <row r="53" spans="1:4" x14ac:dyDescent="0.25">
      <c r="A53" t="s">
        <v>258</v>
      </c>
      <c r="C53" s="2">
        <v>38.5</v>
      </c>
      <c r="D53">
        <v>3.6</v>
      </c>
    </row>
    <row r="55" spans="1:4" x14ac:dyDescent="0.25">
      <c r="A55" t="s">
        <v>259</v>
      </c>
      <c r="B55">
        <v>142</v>
      </c>
      <c r="C55" s="2">
        <v>38.799999999999997</v>
      </c>
      <c r="D55">
        <v>3.1</v>
      </c>
    </row>
    <row r="56" spans="1:4" x14ac:dyDescent="0.25">
      <c r="A56" t="s">
        <v>259</v>
      </c>
      <c r="C56" s="2">
        <v>38.799999999999997</v>
      </c>
      <c r="D56">
        <v>3.1</v>
      </c>
    </row>
    <row r="57" spans="1:4" x14ac:dyDescent="0.25">
      <c r="A57" t="s">
        <v>259</v>
      </c>
      <c r="C57" s="2">
        <v>38.799999999999997</v>
      </c>
      <c r="D57">
        <v>3.1</v>
      </c>
    </row>
    <row r="58" spans="1:4" x14ac:dyDescent="0.25">
      <c r="A58" t="s">
        <v>259</v>
      </c>
      <c r="C58" s="2">
        <v>38.799999999999997</v>
      </c>
      <c r="D58">
        <v>3.1</v>
      </c>
    </row>
    <row r="59" spans="1:4" x14ac:dyDescent="0.25">
      <c r="A59" t="s">
        <v>259</v>
      </c>
      <c r="C59" s="2">
        <v>38.799999999999997</v>
      </c>
      <c r="D59">
        <v>3.1</v>
      </c>
    </row>
    <row r="61" spans="1:4" x14ac:dyDescent="0.25">
      <c r="C61" t="s">
        <v>256</v>
      </c>
    </row>
    <row r="62" spans="1:4" x14ac:dyDescent="0.25">
      <c r="C62" t="s">
        <v>255</v>
      </c>
    </row>
    <row r="63" spans="1:4" x14ac:dyDescent="0.25">
      <c r="A63" t="s">
        <v>257</v>
      </c>
      <c r="B63">
        <v>127</v>
      </c>
      <c r="C63" s="2">
        <v>47.5</v>
      </c>
      <c r="D63">
        <v>4.4000000000000004</v>
      </c>
    </row>
    <row r="64" spans="1:4" x14ac:dyDescent="0.25">
      <c r="A64" t="s">
        <v>257</v>
      </c>
      <c r="C64" s="2">
        <v>47.5</v>
      </c>
      <c r="D64">
        <v>4.4000000000000004</v>
      </c>
    </row>
    <row r="65" spans="1:4" x14ac:dyDescent="0.25">
      <c r="A65" t="s">
        <v>257</v>
      </c>
      <c r="C65" s="2">
        <v>47.5</v>
      </c>
      <c r="D65">
        <v>4.4000000000000004</v>
      </c>
    </row>
    <row r="66" spans="1:4" x14ac:dyDescent="0.25">
      <c r="A66" t="s">
        <v>257</v>
      </c>
      <c r="C66" s="2">
        <v>47.5</v>
      </c>
      <c r="D66">
        <v>4.4000000000000004</v>
      </c>
    </row>
    <row r="67" spans="1:4" x14ac:dyDescent="0.25">
      <c r="A67" t="s">
        <v>257</v>
      </c>
      <c r="C67" s="2">
        <v>47.5</v>
      </c>
      <c r="D67">
        <v>4.4000000000000004</v>
      </c>
    </row>
    <row r="69" spans="1:4" x14ac:dyDescent="0.25">
      <c r="A69" t="s">
        <v>258</v>
      </c>
      <c r="B69">
        <v>135</v>
      </c>
      <c r="C69" s="2">
        <v>47</v>
      </c>
      <c r="D69">
        <v>3.6</v>
      </c>
    </row>
    <row r="70" spans="1:4" x14ac:dyDescent="0.25">
      <c r="A70" t="s">
        <v>258</v>
      </c>
      <c r="C70" s="2">
        <v>47</v>
      </c>
      <c r="D70">
        <v>3.6</v>
      </c>
    </row>
    <row r="71" spans="1:4" x14ac:dyDescent="0.25">
      <c r="A71" t="s">
        <v>258</v>
      </c>
      <c r="C71" s="2">
        <v>47</v>
      </c>
      <c r="D71">
        <v>3.6</v>
      </c>
    </row>
    <row r="72" spans="1:4" x14ac:dyDescent="0.25">
      <c r="A72" t="s">
        <v>258</v>
      </c>
      <c r="C72" s="2">
        <v>47</v>
      </c>
      <c r="D72">
        <v>3.6</v>
      </c>
    </row>
    <row r="73" spans="1:4" x14ac:dyDescent="0.25">
      <c r="A73" t="s">
        <v>258</v>
      </c>
      <c r="C73" s="2">
        <v>47</v>
      </c>
      <c r="D73">
        <v>3.6</v>
      </c>
    </row>
    <row r="75" spans="1:4" x14ac:dyDescent="0.25">
      <c r="A75" t="s">
        <v>259</v>
      </c>
      <c r="B75">
        <v>143</v>
      </c>
      <c r="C75" s="2">
        <v>47.7</v>
      </c>
      <c r="D75">
        <v>3.1</v>
      </c>
    </row>
    <row r="76" spans="1:4" x14ac:dyDescent="0.25">
      <c r="A76" t="s">
        <v>259</v>
      </c>
      <c r="C76" s="2">
        <v>47.7</v>
      </c>
      <c r="D76">
        <v>3.1</v>
      </c>
    </row>
    <row r="77" spans="1:4" x14ac:dyDescent="0.25">
      <c r="A77" t="s">
        <v>259</v>
      </c>
      <c r="C77" s="2">
        <v>47.7</v>
      </c>
      <c r="D77">
        <v>3.1</v>
      </c>
    </row>
    <row r="78" spans="1:4" x14ac:dyDescent="0.25">
      <c r="A78" t="s">
        <v>259</v>
      </c>
      <c r="C78" s="2">
        <v>47.7</v>
      </c>
      <c r="D78">
        <v>3.1</v>
      </c>
    </row>
    <row r="79" spans="1:4" x14ac:dyDescent="0.25">
      <c r="A79" t="s">
        <v>259</v>
      </c>
      <c r="C79" s="2">
        <v>47.7</v>
      </c>
      <c r="D79">
        <v>3.1</v>
      </c>
    </row>
    <row r="81" spans="1:4" x14ac:dyDescent="0.25">
      <c r="C81" t="s">
        <v>256</v>
      </c>
    </row>
    <row r="82" spans="1:4" x14ac:dyDescent="0.25">
      <c r="C82" t="s">
        <v>141</v>
      </c>
    </row>
    <row r="83" spans="1:4" x14ac:dyDescent="0.25">
      <c r="A83" t="s">
        <v>257</v>
      </c>
      <c r="B83">
        <v>128</v>
      </c>
      <c r="C83" s="2">
        <v>54.9</v>
      </c>
      <c r="D83">
        <v>4.5</v>
      </c>
    </row>
    <row r="84" spans="1:4" x14ac:dyDescent="0.25">
      <c r="A84" t="s">
        <v>257</v>
      </c>
      <c r="C84" s="2">
        <v>54.9</v>
      </c>
      <c r="D84">
        <v>4.5</v>
      </c>
    </row>
    <row r="85" spans="1:4" x14ac:dyDescent="0.25">
      <c r="A85" t="s">
        <v>257</v>
      </c>
      <c r="C85" s="2">
        <v>54.9</v>
      </c>
      <c r="D85">
        <v>4.5</v>
      </c>
    </row>
    <row r="86" spans="1:4" x14ac:dyDescent="0.25">
      <c r="A86" t="s">
        <v>257</v>
      </c>
      <c r="C86" s="2">
        <v>54.9</v>
      </c>
      <c r="D86">
        <v>4.5</v>
      </c>
    </row>
    <row r="87" spans="1:4" x14ac:dyDescent="0.25">
      <c r="A87" t="s">
        <v>257</v>
      </c>
      <c r="C87" s="2">
        <v>54.9</v>
      </c>
      <c r="D87">
        <v>4.5</v>
      </c>
    </row>
    <row r="89" spans="1:4" x14ac:dyDescent="0.25">
      <c r="A89" t="s">
        <v>258</v>
      </c>
      <c r="B89">
        <v>136</v>
      </c>
      <c r="C89" s="2">
        <v>56.2</v>
      </c>
      <c r="D89">
        <v>3.7</v>
      </c>
    </row>
    <row r="90" spans="1:4" x14ac:dyDescent="0.25">
      <c r="A90" t="s">
        <v>258</v>
      </c>
      <c r="C90" s="2">
        <v>56.2</v>
      </c>
      <c r="D90">
        <v>3.7</v>
      </c>
    </row>
    <row r="91" spans="1:4" x14ac:dyDescent="0.25">
      <c r="A91" t="s">
        <v>258</v>
      </c>
      <c r="C91" s="2">
        <v>56.2</v>
      </c>
      <c r="D91">
        <v>3.7</v>
      </c>
    </row>
    <row r="92" spans="1:4" x14ac:dyDescent="0.25">
      <c r="A92" t="s">
        <v>258</v>
      </c>
      <c r="C92" s="2">
        <v>56.2</v>
      </c>
      <c r="D92">
        <v>3.7</v>
      </c>
    </row>
    <row r="93" spans="1:4" x14ac:dyDescent="0.25">
      <c r="A93" t="s">
        <v>258</v>
      </c>
      <c r="C93" s="2">
        <v>56.2</v>
      </c>
      <c r="D93">
        <v>3.7</v>
      </c>
    </row>
    <row r="95" spans="1:4" x14ac:dyDescent="0.25">
      <c r="A95" t="s">
        <v>259</v>
      </c>
      <c r="B95">
        <v>144</v>
      </c>
      <c r="C95" s="2">
        <v>57.2</v>
      </c>
      <c r="D95">
        <v>3.1</v>
      </c>
    </row>
    <row r="96" spans="1:4" x14ac:dyDescent="0.25">
      <c r="A96" t="s">
        <v>259</v>
      </c>
      <c r="C96" s="2">
        <v>57.2</v>
      </c>
      <c r="D96">
        <v>3.1</v>
      </c>
    </row>
    <row r="97" spans="1:4" x14ac:dyDescent="0.25">
      <c r="A97" t="s">
        <v>259</v>
      </c>
      <c r="C97" s="2">
        <v>57.2</v>
      </c>
      <c r="D97">
        <v>3.1</v>
      </c>
    </row>
    <row r="98" spans="1:4" x14ac:dyDescent="0.25">
      <c r="A98" t="s">
        <v>259</v>
      </c>
      <c r="C98" s="2">
        <v>57.2</v>
      </c>
      <c r="D98">
        <v>3.1</v>
      </c>
    </row>
    <row r="99" spans="1:4" x14ac:dyDescent="0.25">
      <c r="A99" t="s">
        <v>259</v>
      </c>
      <c r="C99" s="2">
        <v>57.2</v>
      </c>
      <c r="D99">
        <v>3.1</v>
      </c>
    </row>
    <row r="101" spans="1:4" x14ac:dyDescent="0.25">
      <c r="C101" t="s">
        <v>256</v>
      </c>
    </row>
    <row r="102" spans="1:4" x14ac:dyDescent="0.25">
      <c r="C102" t="s">
        <v>142</v>
      </c>
    </row>
    <row r="103" spans="1:4" x14ac:dyDescent="0.25">
      <c r="A103" t="s">
        <v>257</v>
      </c>
      <c r="B103">
        <v>129</v>
      </c>
      <c r="C103" s="2">
        <v>64</v>
      </c>
      <c r="D103">
        <v>4.4000000000000004</v>
      </c>
    </row>
    <row r="104" spans="1:4" x14ac:dyDescent="0.25">
      <c r="A104" t="s">
        <v>257</v>
      </c>
      <c r="C104" s="2">
        <v>64</v>
      </c>
      <c r="D104">
        <v>4.4000000000000004</v>
      </c>
    </row>
    <row r="105" spans="1:4" x14ac:dyDescent="0.25">
      <c r="A105" t="s">
        <v>257</v>
      </c>
      <c r="C105" s="2">
        <v>64</v>
      </c>
      <c r="D105">
        <v>4.4000000000000004</v>
      </c>
    </row>
    <row r="106" spans="1:4" x14ac:dyDescent="0.25">
      <c r="A106" t="s">
        <v>257</v>
      </c>
      <c r="C106" s="2">
        <v>64</v>
      </c>
      <c r="D106">
        <v>4.4000000000000004</v>
      </c>
    </row>
    <row r="107" spans="1:4" x14ac:dyDescent="0.25">
      <c r="A107" t="s">
        <v>257</v>
      </c>
      <c r="C107" s="2">
        <v>64</v>
      </c>
      <c r="D107">
        <v>4.4000000000000004</v>
      </c>
    </row>
    <row r="109" spans="1:4" x14ac:dyDescent="0.25">
      <c r="A109" t="s">
        <v>258</v>
      </c>
      <c r="B109">
        <v>137</v>
      </c>
      <c r="C109" s="2">
        <v>64.7</v>
      </c>
      <c r="D109">
        <v>3.6</v>
      </c>
    </row>
    <row r="110" spans="1:4" x14ac:dyDescent="0.25">
      <c r="A110" t="s">
        <v>258</v>
      </c>
      <c r="C110" s="2">
        <v>64.7</v>
      </c>
      <c r="D110">
        <v>3.6</v>
      </c>
    </row>
    <row r="111" spans="1:4" x14ac:dyDescent="0.25">
      <c r="A111" t="s">
        <v>258</v>
      </c>
      <c r="C111" s="2">
        <v>64.7</v>
      </c>
      <c r="D111">
        <v>3.6</v>
      </c>
    </row>
    <row r="112" spans="1:4" x14ac:dyDescent="0.25">
      <c r="A112" t="s">
        <v>258</v>
      </c>
      <c r="C112" s="2">
        <v>64.7</v>
      </c>
      <c r="D112">
        <v>3.6</v>
      </c>
    </row>
    <row r="113" spans="1:4" x14ac:dyDescent="0.25">
      <c r="A113" t="s">
        <v>258</v>
      </c>
      <c r="C113" s="2">
        <v>64.7</v>
      </c>
      <c r="D113">
        <v>3.6</v>
      </c>
    </row>
    <row r="115" spans="1:4" x14ac:dyDescent="0.25">
      <c r="A115" t="s">
        <v>259</v>
      </c>
      <c r="B115">
        <v>145</v>
      </c>
      <c r="C115" s="2">
        <v>64</v>
      </c>
      <c r="D115">
        <v>3</v>
      </c>
    </row>
    <row r="116" spans="1:4" x14ac:dyDescent="0.25">
      <c r="A116" t="s">
        <v>259</v>
      </c>
      <c r="C116" s="2">
        <v>64</v>
      </c>
      <c r="D116">
        <v>3</v>
      </c>
    </row>
    <row r="117" spans="1:4" x14ac:dyDescent="0.25">
      <c r="A117" t="s">
        <v>259</v>
      </c>
      <c r="C117" s="2">
        <v>64</v>
      </c>
      <c r="D117">
        <v>3</v>
      </c>
    </row>
    <row r="118" spans="1:4" x14ac:dyDescent="0.25">
      <c r="A118" t="s">
        <v>259</v>
      </c>
      <c r="C118" s="2">
        <v>64</v>
      </c>
      <c r="D118">
        <v>3</v>
      </c>
    </row>
    <row r="119" spans="1:4" x14ac:dyDescent="0.25">
      <c r="A119" t="s">
        <v>259</v>
      </c>
      <c r="C119" s="2">
        <v>64</v>
      </c>
      <c r="D119">
        <v>3</v>
      </c>
    </row>
    <row r="121" spans="1:4" x14ac:dyDescent="0.25">
      <c r="C121" t="s">
        <v>256</v>
      </c>
    </row>
    <row r="122" spans="1:4" x14ac:dyDescent="0.25">
      <c r="C122" t="s">
        <v>143</v>
      </c>
    </row>
    <row r="123" spans="1:4" x14ac:dyDescent="0.25">
      <c r="A123" t="s">
        <v>257</v>
      </c>
      <c r="B123">
        <v>130</v>
      </c>
      <c r="C123" s="2">
        <v>72.8</v>
      </c>
      <c r="D123">
        <v>4.4000000000000004</v>
      </c>
    </row>
    <row r="124" spans="1:4" x14ac:dyDescent="0.25">
      <c r="A124" t="s">
        <v>257</v>
      </c>
      <c r="C124" s="2">
        <v>72.8</v>
      </c>
      <c r="D124">
        <v>4.4000000000000004</v>
      </c>
    </row>
    <row r="125" spans="1:4" x14ac:dyDescent="0.25">
      <c r="A125" t="s">
        <v>257</v>
      </c>
      <c r="C125" s="2">
        <v>72.8</v>
      </c>
      <c r="D125">
        <v>4.4000000000000004</v>
      </c>
    </row>
    <row r="126" spans="1:4" x14ac:dyDescent="0.25">
      <c r="A126" t="s">
        <v>257</v>
      </c>
      <c r="C126" s="2">
        <v>72.8</v>
      </c>
      <c r="D126">
        <v>4.4000000000000004</v>
      </c>
    </row>
    <row r="127" spans="1:4" x14ac:dyDescent="0.25">
      <c r="A127" t="s">
        <v>257</v>
      </c>
      <c r="C127" s="2">
        <v>72.8</v>
      </c>
      <c r="D127">
        <v>4.4000000000000004</v>
      </c>
    </row>
    <row r="129" spans="1:4" x14ac:dyDescent="0.25">
      <c r="A129" t="s">
        <v>258</v>
      </c>
      <c r="B129">
        <v>138</v>
      </c>
      <c r="C129" s="2">
        <v>74.099999999999994</v>
      </c>
      <c r="D129">
        <v>3.6</v>
      </c>
    </row>
    <row r="130" spans="1:4" x14ac:dyDescent="0.25">
      <c r="A130" t="s">
        <v>258</v>
      </c>
      <c r="C130" s="2">
        <v>74.099999999999994</v>
      </c>
      <c r="D130">
        <v>3.6</v>
      </c>
    </row>
    <row r="131" spans="1:4" x14ac:dyDescent="0.25">
      <c r="A131" t="s">
        <v>258</v>
      </c>
      <c r="C131" s="2">
        <v>74.099999999999994</v>
      </c>
      <c r="D131">
        <v>3.6</v>
      </c>
    </row>
    <row r="132" spans="1:4" x14ac:dyDescent="0.25">
      <c r="A132" t="s">
        <v>258</v>
      </c>
      <c r="C132" s="2">
        <v>74.099999999999994</v>
      </c>
      <c r="D132">
        <v>3.6</v>
      </c>
    </row>
    <row r="133" spans="1:4" x14ac:dyDescent="0.25">
      <c r="A133" t="s">
        <v>258</v>
      </c>
      <c r="C133" s="2">
        <v>74.099999999999994</v>
      </c>
      <c r="D133">
        <v>3.6</v>
      </c>
    </row>
    <row r="135" spans="1:4" x14ac:dyDescent="0.25">
      <c r="A135" t="s">
        <v>259</v>
      </c>
      <c r="B135">
        <v>146</v>
      </c>
      <c r="C135" s="2">
        <v>73.900000000000006</v>
      </c>
      <c r="D135">
        <v>3</v>
      </c>
    </row>
    <row r="136" spans="1:4" x14ac:dyDescent="0.25">
      <c r="A136" t="s">
        <v>259</v>
      </c>
      <c r="C136" s="2">
        <v>73.900000000000006</v>
      </c>
      <c r="D136">
        <v>3</v>
      </c>
    </row>
    <row r="137" spans="1:4" x14ac:dyDescent="0.25">
      <c r="A137" t="s">
        <v>259</v>
      </c>
      <c r="C137" s="2">
        <v>73.900000000000006</v>
      </c>
      <c r="D137">
        <v>3</v>
      </c>
    </row>
    <row r="138" spans="1:4" x14ac:dyDescent="0.25">
      <c r="A138" t="s">
        <v>259</v>
      </c>
      <c r="C138" s="2">
        <v>73.900000000000006</v>
      </c>
      <c r="D138">
        <v>3</v>
      </c>
    </row>
    <row r="139" spans="1:4" x14ac:dyDescent="0.25">
      <c r="A139" t="s">
        <v>259</v>
      </c>
      <c r="C139" s="2">
        <v>73.900000000000006</v>
      </c>
      <c r="D139">
        <v>3</v>
      </c>
    </row>
    <row r="141" spans="1:4" x14ac:dyDescent="0.25">
      <c r="C141" t="s">
        <v>256</v>
      </c>
    </row>
    <row r="142" spans="1:4" x14ac:dyDescent="0.25">
      <c r="C142" t="s">
        <v>144</v>
      </c>
    </row>
    <row r="143" spans="1:4" x14ac:dyDescent="0.25">
      <c r="A143" t="s">
        <v>257</v>
      </c>
      <c r="B143">
        <v>131</v>
      </c>
      <c r="C143" s="2">
        <v>78.3</v>
      </c>
      <c r="D143">
        <v>4.3</v>
      </c>
    </row>
    <row r="144" spans="1:4" x14ac:dyDescent="0.25">
      <c r="A144" t="s">
        <v>257</v>
      </c>
      <c r="C144" s="2">
        <v>78.3</v>
      </c>
      <c r="D144">
        <v>4.3</v>
      </c>
    </row>
    <row r="145" spans="1:4" x14ac:dyDescent="0.25">
      <c r="A145" t="s">
        <v>257</v>
      </c>
      <c r="C145" s="2">
        <v>78.3</v>
      </c>
      <c r="D145">
        <v>4.3</v>
      </c>
    </row>
    <row r="146" spans="1:4" x14ac:dyDescent="0.25">
      <c r="A146" t="s">
        <v>257</v>
      </c>
      <c r="C146" s="2">
        <v>78.3</v>
      </c>
      <c r="D146">
        <v>4.3</v>
      </c>
    </row>
    <row r="147" spans="1:4" x14ac:dyDescent="0.25">
      <c r="A147" t="s">
        <v>257</v>
      </c>
      <c r="C147" s="2">
        <v>78.3</v>
      </c>
      <c r="D147">
        <v>4.3</v>
      </c>
    </row>
    <row r="149" spans="1:4" x14ac:dyDescent="0.25">
      <c r="A149" t="s">
        <v>258</v>
      </c>
      <c r="B149">
        <v>139</v>
      </c>
      <c r="C149" s="2">
        <v>80.3</v>
      </c>
      <c r="D149">
        <v>3.6</v>
      </c>
    </row>
    <row r="150" spans="1:4" x14ac:dyDescent="0.25">
      <c r="A150" t="s">
        <v>258</v>
      </c>
      <c r="C150" s="2">
        <v>80.3</v>
      </c>
      <c r="D150">
        <v>3.6</v>
      </c>
    </row>
    <row r="151" spans="1:4" x14ac:dyDescent="0.25">
      <c r="A151" t="s">
        <v>258</v>
      </c>
      <c r="C151" s="2">
        <v>80.3</v>
      </c>
      <c r="D151">
        <v>3.6</v>
      </c>
    </row>
    <row r="152" spans="1:4" x14ac:dyDescent="0.25">
      <c r="A152" t="s">
        <v>258</v>
      </c>
      <c r="C152" s="2">
        <v>80.3</v>
      </c>
      <c r="D152">
        <v>3.6</v>
      </c>
    </row>
    <row r="153" spans="1:4" x14ac:dyDescent="0.25">
      <c r="A153" t="s">
        <v>258</v>
      </c>
      <c r="C153" s="2">
        <v>80.3</v>
      </c>
      <c r="D153">
        <v>3.6</v>
      </c>
    </row>
    <row r="155" spans="1:4" x14ac:dyDescent="0.25">
      <c r="A155" t="s">
        <v>259</v>
      </c>
      <c r="B155">
        <v>147</v>
      </c>
      <c r="C155" s="2">
        <v>81.099999999999994</v>
      </c>
      <c r="D155">
        <v>3</v>
      </c>
    </row>
    <row r="156" spans="1:4" x14ac:dyDescent="0.25">
      <c r="A156" t="s">
        <v>259</v>
      </c>
      <c r="C156" s="2">
        <v>81.099999999999994</v>
      </c>
      <c r="D156">
        <v>3</v>
      </c>
    </row>
    <row r="157" spans="1:4" x14ac:dyDescent="0.25">
      <c r="A157" t="s">
        <v>259</v>
      </c>
      <c r="C157" s="2">
        <v>81.099999999999994</v>
      </c>
      <c r="D157">
        <v>3</v>
      </c>
    </row>
    <row r="158" spans="1:4" x14ac:dyDescent="0.25">
      <c r="A158" t="s">
        <v>259</v>
      </c>
      <c r="C158" s="2">
        <v>81.099999999999994</v>
      </c>
      <c r="D158">
        <v>3</v>
      </c>
    </row>
    <row r="159" spans="1:4" x14ac:dyDescent="0.25">
      <c r="A159" t="s">
        <v>259</v>
      </c>
      <c r="C159" s="2">
        <v>81.099999999999994</v>
      </c>
      <c r="D159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AC9D-1E5B-43B6-8EC1-5ECE9D2C227F}">
  <dimension ref="A1:AN99"/>
  <sheetViews>
    <sheetView showGridLines="0" zoomScale="85" zoomScaleNormal="85" workbookViewId="0">
      <selection activeCell="J35" sqref="J35"/>
    </sheetView>
  </sheetViews>
  <sheetFormatPr defaultRowHeight="15" x14ac:dyDescent="0.25"/>
  <cols>
    <col min="1" max="1" width="2.42578125" style="58" customWidth="1"/>
    <col min="2" max="2" width="9.42578125" style="58" customWidth="1"/>
    <col min="3" max="3" width="2.42578125" style="58" customWidth="1"/>
    <col min="4" max="4" width="30.140625" style="58" customWidth="1"/>
    <col min="5" max="5" width="14.42578125" style="58" customWidth="1"/>
    <col min="6" max="6" width="11.28515625" style="58" customWidth="1"/>
    <col min="7" max="7" width="1.28515625" style="58" customWidth="1"/>
    <col min="8" max="8" width="16.28515625" style="58" customWidth="1"/>
    <col min="9" max="9" width="14.42578125" style="58" customWidth="1"/>
    <col min="10" max="10" width="25.7109375" style="58" customWidth="1"/>
    <col min="11" max="12" width="1.42578125" style="58" customWidth="1"/>
    <col min="13" max="14" width="8.85546875" style="58" customWidth="1"/>
    <col min="15" max="15" width="8.85546875" style="172" customWidth="1"/>
    <col min="16" max="16" width="26.42578125" style="172" customWidth="1"/>
    <col min="17" max="17" width="5.28515625" style="172" customWidth="1"/>
    <col min="18" max="18" width="8.85546875" style="172" customWidth="1"/>
    <col min="19" max="19" width="19" style="172" customWidth="1"/>
    <col min="20" max="20" width="21.5703125" style="172" customWidth="1"/>
    <col min="21" max="21" width="8.85546875" style="172" customWidth="1"/>
    <col min="22" max="25" width="9.140625" style="172"/>
    <col min="26" max="40" width="9.140625" style="143"/>
    <col min="41" max="16384" width="9.140625" style="58"/>
  </cols>
  <sheetData>
    <row r="1" spans="1:40" ht="15.75" thickBot="1" x14ac:dyDescent="0.3">
      <c r="B1" s="58" t="s">
        <v>352</v>
      </c>
    </row>
    <row r="2" spans="1:40" ht="15.75" thickBot="1" x14ac:dyDescent="0.3">
      <c r="B2" s="59"/>
      <c r="C2" s="144"/>
      <c r="D2" s="58" t="s">
        <v>353</v>
      </c>
    </row>
    <row r="3" spans="1:40" ht="15.75" thickBot="1" x14ac:dyDescent="0.3">
      <c r="B3" s="60"/>
      <c r="C3" s="145"/>
      <c r="D3" s="58" t="s">
        <v>362</v>
      </c>
    </row>
    <row r="4" spans="1:40" x14ac:dyDescent="0.25">
      <c r="D4" s="143"/>
      <c r="E4" s="143"/>
      <c r="F4" s="143"/>
      <c r="G4" s="143"/>
      <c r="H4" s="143"/>
      <c r="I4" s="143"/>
      <c r="J4" s="143"/>
      <c r="K4" s="143"/>
      <c r="L4" s="143"/>
    </row>
    <row r="5" spans="1:40" x14ac:dyDescent="0.25">
      <c r="A5" s="146"/>
      <c r="D5" s="258" t="s">
        <v>396</v>
      </c>
      <c r="E5" s="258"/>
      <c r="F5" s="258"/>
      <c r="G5" s="258"/>
      <c r="H5" s="258"/>
      <c r="I5" s="258"/>
      <c r="J5" s="258"/>
      <c r="K5" s="147"/>
      <c r="L5" s="147"/>
    </row>
    <row r="6" spans="1:40" ht="54.75" customHeight="1" x14ac:dyDescent="0.25">
      <c r="A6" s="146"/>
      <c r="D6" s="258"/>
      <c r="E6" s="258"/>
      <c r="F6" s="258"/>
      <c r="G6" s="258"/>
      <c r="H6" s="258"/>
      <c r="I6" s="258"/>
      <c r="J6" s="258"/>
      <c r="K6" s="147"/>
      <c r="L6" s="147"/>
    </row>
    <row r="7" spans="1:40" ht="22.15" customHeight="1" thickBot="1" x14ac:dyDescent="0.3">
      <c r="A7" s="146"/>
      <c r="D7" s="148" t="s">
        <v>351</v>
      </c>
      <c r="E7" s="147"/>
      <c r="F7" s="149"/>
      <c r="K7" s="143"/>
      <c r="L7" s="147"/>
    </row>
    <row r="8" spans="1:40" ht="22.15" customHeight="1" thickBot="1" x14ac:dyDescent="0.3">
      <c r="A8" s="146"/>
      <c r="D8" s="84" t="s">
        <v>317</v>
      </c>
      <c r="E8" s="259" t="s">
        <v>318</v>
      </c>
      <c r="F8" s="260"/>
      <c r="H8" s="244" t="s">
        <v>390</v>
      </c>
      <c r="I8" s="245"/>
      <c r="J8" s="246"/>
      <c r="K8" s="143"/>
      <c r="L8" s="147"/>
      <c r="O8" s="173">
        <v>1</v>
      </c>
      <c r="P8" s="173" t="s">
        <v>320</v>
      </c>
      <c r="Q8" s="174" t="s">
        <v>145</v>
      </c>
      <c r="R8" s="175">
        <v>35</v>
      </c>
      <c r="S8" s="174">
        <f>VLOOKUP(E21,P8:R10,3,TRUE)</f>
        <v>45</v>
      </c>
      <c r="T8" s="174"/>
      <c r="Z8" s="147"/>
    </row>
    <row r="9" spans="1:40" ht="22.15" customHeight="1" x14ac:dyDescent="0.25">
      <c r="A9" s="146"/>
      <c r="D9" s="85" t="s">
        <v>321</v>
      </c>
      <c r="E9" s="228" t="s">
        <v>361</v>
      </c>
      <c r="F9" s="229"/>
      <c r="H9" s="266" t="s">
        <v>319</v>
      </c>
      <c r="I9" s="267"/>
      <c r="J9" s="187">
        <v>186</v>
      </c>
      <c r="K9" s="143"/>
      <c r="L9" s="147"/>
      <c r="O9" s="173">
        <v>2</v>
      </c>
      <c r="P9" s="173" t="s">
        <v>323</v>
      </c>
      <c r="Q9" s="174" t="s">
        <v>45</v>
      </c>
      <c r="R9" s="175">
        <v>45</v>
      </c>
      <c r="S9" s="174" t="str">
        <f>VLOOKUP(E21,P8:R10,2,FALSE)</f>
        <v>W45</v>
      </c>
      <c r="T9" s="174"/>
      <c r="Z9" s="147"/>
    </row>
    <row r="10" spans="1:40" ht="22.15" customHeight="1" thickBot="1" x14ac:dyDescent="0.3">
      <c r="A10" s="146"/>
      <c r="D10" s="261" t="s">
        <v>324</v>
      </c>
      <c r="E10" s="262"/>
      <c r="F10" s="263"/>
      <c r="H10" s="254" t="s">
        <v>322</v>
      </c>
      <c r="I10" s="255"/>
      <c r="J10" s="188">
        <v>0</v>
      </c>
      <c r="K10" s="143"/>
      <c r="L10" s="147"/>
      <c r="O10" s="173">
        <v>3</v>
      </c>
      <c r="P10" s="173" t="s">
        <v>325</v>
      </c>
      <c r="Q10" s="173" t="s">
        <v>153</v>
      </c>
      <c r="R10" s="175">
        <v>55</v>
      </c>
      <c r="S10" s="173"/>
      <c r="T10" s="173"/>
      <c r="Z10" s="147"/>
      <c r="AD10" s="150"/>
    </row>
    <row r="11" spans="1:40" ht="22.15" customHeight="1" thickBot="1" x14ac:dyDescent="0.3">
      <c r="A11" s="146"/>
      <c r="H11" s="254" t="s">
        <v>379</v>
      </c>
      <c r="I11" s="255"/>
      <c r="J11" s="188">
        <v>0</v>
      </c>
      <c r="K11" s="143"/>
      <c r="L11" s="147"/>
      <c r="O11" s="173"/>
      <c r="P11" s="173"/>
      <c r="Q11" s="173"/>
      <c r="R11" s="173"/>
      <c r="S11" s="173"/>
      <c r="T11" s="173"/>
      <c r="Z11" s="147"/>
      <c r="AD11" s="151"/>
    </row>
    <row r="12" spans="1:40" ht="22.15" customHeight="1" thickBot="1" x14ac:dyDescent="0.3">
      <c r="A12" s="146"/>
      <c r="D12" s="244" t="s">
        <v>389</v>
      </c>
      <c r="E12" s="245"/>
      <c r="F12" s="246"/>
      <c r="H12" s="254" t="s">
        <v>327</v>
      </c>
      <c r="I12" s="255"/>
      <c r="J12" s="188">
        <v>0</v>
      </c>
      <c r="K12" s="143"/>
      <c r="L12" s="147"/>
      <c r="O12" s="173">
        <v>1</v>
      </c>
      <c r="P12" s="173" t="s">
        <v>328</v>
      </c>
      <c r="Q12" s="173"/>
      <c r="R12" s="176">
        <v>0.09</v>
      </c>
      <c r="S12" s="173" t="s">
        <v>329</v>
      </c>
      <c r="T12" s="173"/>
      <c r="Z12" s="147"/>
      <c r="AD12" s="151"/>
      <c r="AJ12" s="147"/>
      <c r="AN12" s="151"/>
    </row>
    <row r="13" spans="1:40" ht="22.15" customHeight="1" x14ac:dyDescent="0.25">
      <c r="A13" s="146"/>
      <c r="D13" s="84" t="s">
        <v>326</v>
      </c>
      <c r="E13" s="259" t="s">
        <v>224</v>
      </c>
      <c r="F13" s="260"/>
      <c r="H13" s="254" t="s">
        <v>349</v>
      </c>
      <c r="I13" s="255"/>
      <c r="J13" s="152">
        <f>Pomery_vykonu!AA6</f>
        <v>13.393333333333333</v>
      </c>
      <c r="K13" s="143"/>
      <c r="L13" s="147"/>
      <c r="O13" s="173">
        <v>2</v>
      </c>
      <c r="P13" s="173" t="s">
        <v>331</v>
      </c>
      <c r="Q13" s="173"/>
      <c r="R13" s="176">
        <v>0.06</v>
      </c>
      <c r="S13" s="173" t="s">
        <v>329</v>
      </c>
      <c r="T13" s="173"/>
      <c r="X13" s="177"/>
      <c r="Y13" s="178"/>
      <c r="Z13" s="147"/>
      <c r="AC13" s="153"/>
      <c r="AD13" s="147"/>
      <c r="AH13" s="153"/>
      <c r="AI13" s="147"/>
      <c r="AJ13" s="147"/>
      <c r="AM13" s="153"/>
      <c r="AN13" s="147"/>
    </row>
    <row r="14" spans="1:40" ht="22.15" customHeight="1" thickBot="1" x14ac:dyDescent="0.3">
      <c r="A14" s="146"/>
      <c r="D14" s="85" t="s">
        <v>330</v>
      </c>
      <c r="E14" s="264">
        <f>Pomery_vykonu!B5</f>
        <v>-12</v>
      </c>
      <c r="F14" s="265"/>
      <c r="H14" s="268" t="s">
        <v>380</v>
      </c>
      <c r="I14" s="269"/>
      <c r="J14" s="154">
        <f>MAX(J9+J10+J11,(J9+J10+J11)*0.7+MAX(J12,J13))</f>
        <v>186</v>
      </c>
      <c r="K14" s="143"/>
      <c r="L14" s="147"/>
      <c r="O14" s="173">
        <v>3</v>
      </c>
      <c r="P14" s="173" t="s">
        <v>332</v>
      </c>
      <c r="Q14" s="173"/>
      <c r="R14" s="176">
        <v>4.4999999999999998E-2</v>
      </c>
      <c r="S14" s="173" t="s">
        <v>329</v>
      </c>
      <c r="T14" s="173"/>
      <c r="X14" s="178"/>
      <c r="Y14" s="176"/>
      <c r="AC14" s="147"/>
      <c r="AD14" s="150"/>
      <c r="AH14" s="147"/>
      <c r="AI14" s="150"/>
      <c r="AM14" s="147"/>
      <c r="AN14" s="150"/>
    </row>
    <row r="15" spans="1:40" ht="22.15" customHeight="1" thickBot="1" x14ac:dyDescent="0.3">
      <c r="A15" s="146"/>
      <c r="D15" s="85" t="s">
        <v>375</v>
      </c>
      <c r="E15" s="232">
        <v>19</v>
      </c>
      <c r="F15" s="233"/>
      <c r="H15" s="195" t="s">
        <v>388</v>
      </c>
      <c r="I15" s="196"/>
      <c r="J15" s="197"/>
      <c r="K15" s="143"/>
      <c r="L15" s="147"/>
      <c r="O15" s="173">
        <v>4</v>
      </c>
      <c r="P15" s="173" t="s">
        <v>360</v>
      </c>
      <c r="Q15" s="173"/>
      <c r="R15" s="176">
        <v>0.03</v>
      </c>
      <c r="S15" s="173" t="s">
        <v>329</v>
      </c>
      <c r="T15" s="173"/>
      <c r="AD15" s="150"/>
      <c r="AN15" s="150"/>
    </row>
    <row r="16" spans="1:40" ht="22.15" customHeight="1" thickBot="1" x14ac:dyDescent="0.3">
      <c r="A16" s="146"/>
      <c r="D16" s="86" t="s">
        <v>376</v>
      </c>
      <c r="E16" s="234">
        <f>Pomery_vykonu!B9</f>
        <v>225</v>
      </c>
      <c r="F16" s="235"/>
      <c r="H16" s="198" t="s">
        <v>577</v>
      </c>
      <c r="I16" s="199"/>
      <c r="J16" s="200"/>
      <c r="K16" s="143"/>
      <c r="L16" s="147"/>
      <c r="O16" s="173"/>
      <c r="P16" s="173"/>
      <c r="Q16" s="173"/>
      <c r="R16" s="173"/>
      <c r="S16" s="173"/>
      <c r="T16" s="173"/>
      <c r="X16" s="177"/>
      <c r="AC16" s="153"/>
      <c r="AH16" s="153"/>
      <c r="AM16" s="153"/>
    </row>
    <row r="17" spans="1:39" ht="22.15" customHeight="1" thickBot="1" x14ac:dyDescent="0.3">
      <c r="H17" s="155" t="s">
        <v>576</v>
      </c>
      <c r="I17" s="156" t="s">
        <v>114</v>
      </c>
      <c r="J17" s="189">
        <v>450</v>
      </c>
      <c r="K17" s="143"/>
      <c r="L17" s="143"/>
      <c r="M17" s="143"/>
      <c r="O17" s="173">
        <v>1</v>
      </c>
      <c r="P17" s="173" t="s">
        <v>335</v>
      </c>
      <c r="Q17" s="173"/>
      <c r="R17" s="179">
        <v>0.8</v>
      </c>
      <c r="S17" s="173" t="s">
        <v>336</v>
      </c>
      <c r="T17" s="180" t="s">
        <v>337</v>
      </c>
    </row>
    <row r="18" spans="1:39" ht="22.15" customHeight="1" thickBot="1" x14ac:dyDescent="0.3">
      <c r="D18" s="244" t="s">
        <v>333</v>
      </c>
      <c r="E18" s="245"/>
      <c r="F18" s="246"/>
      <c r="H18" s="201" t="s">
        <v>547</v>
      </c>
      <c r="I18" s="202"/>
      <c r="J18" s="190">
        <v>0.85</v>
      </c>
      <c r="K18" s="143"/>
      <c r="L18" s="143"/>
      <c r="M18" s="143"/>
      <c r="O18" s="173">
        <v>2</v>
      </c>
      <c r="P18" s="173" t="s">
        <v>338</v>
      </c>
      <c r="Q18" s="173"/>
      <c r="R18" s="179">
        <v>1.5</v>
      </c>
      <c r="S18" s="173" t="s">
        <v>339</v>
      </c>
      <c r="T18" s="180" t="s">
        <v>340</v>
      </c>
    </row>
    <row r="19" spans="1:39" ht="22.15" customHeight="1" thickBot="1" x14ac:dyDescent="0.3">
      <c r="D19" s="157" t="s">
        <v>377</v>
      </c>
      <c r="E19" s="236" t="s">
        <v>134</v>
      </c>
      <c r="F19" s="237"/>
      <c r="H19" s="203" t="s">
        <v>546</v>
      </c>
      <c r="I19" s="204"/>
      <c r="J19" s="158">
        <f>Pomery_vykonu!D37</f>
        <v>199.72180230116734</v>
      </c>
      <c r="K19" s="143"/>
      <c r="L19" s="143"/>
      <c r="M19" s="143"/>
      <c r="O19" s="173">
        <v>3</v>
      </c>
      <c r="P19" s="173" t="s">
        <v>342</v>
      </c>
      <c r="Q19" s="173"/>
      <c r="R19" s="179">
        <v>0</v>
      </c>
      <c r="S19" s="173" t="s">
        <v>343</v>
      </c>
      <c r="T19" s="180" t="s">
        <v>344</v>
      </c>
    </row>
    <row r="20" spans="1:39" ht="22.15" customHeight="1" x14ac:dyDescent="0.25">
      <c r="D20" s="85" t="s">
        <v>378</v>
      </c>
      <c r="E20" s="228">
        <v>3</v>
      </c>
      <c r="F20" s="229"/>
      <c r="H20" s="194" t="s">
        <v>548</v>
      </c>
      <c r="I20" s="159" t="s">
        <v>114</v>
      </c>
      <c r="J20" s="191">
        <v>40</v>
      </c>
      <c r="K20" s="143"/>
      <c r="L20" s="143"/>
      <c r="M20" s="143"/>
    </row>
    <row r="21" spans="1:39" ht="22.15" customHeight="1" thickBot="1" x14ac:dyDescent="0.3">
      <c r="D21" s="86" t="s">
        <v>345</v>
      </c>
      <c r="E21" s="230" t="s">
        <v>323</v>
      </c>
      <c r="F21" s="231"/>
      <c r="H21" s="86" t="s">
        <v>575</v>
      </c>
      <c r="I21" s="160" t="s">
        <v>574</v>
      </c>
      <c r="J21" s="161">
        <f>Pomery_vykonu!D51</f>
        <v>1.6199468920660773</v>
      </c>
      <c r="K21" s="143"/>
      <c r="L21" s="143"/>
      <c r="P21" s="173" t="s">
        <v>355</v>
      </c>
      <c r="Q21" s="172">
        <v>82</v>
      </c>
      <c r="R21" s="172" t="s">
        <v>354</v>
      </c>
    </row>
    <row r="22" spans="1:39" ht="22.15" customHeight="1" thickBot="1" x14ac:dyDescent="0.3">
      <c r="H22" s="205" t="s">
        <v>578</v>
      </c>
      <c r="I22" s="206"/>
      <c r="J22" s="207"/>
      <c r="K22" s="143"/>
      <c r="L22" s="143"/>
      <c r="P22" s="173" t="s">
        <v>357</v>
      </c>
      <c r="Q22" s="172">
        <v>67</v>
      </c>
      <c r="R22" s="172" t="s">
        <v>354</v>
      </c>
    </row>
    <row r="23" spans="1:39" ht="22.15" customHeight="1" x14ac:dyDescent="0.25">
      <c r="K23" s="143"/>
      <c r="L23" s="143"/>
      <c r="P23" s="173"/>
    </row>
    <row r="24" spans="1:39" ht="22.15" customHeight="1" x14ac:dyDescent="0.25">
      <c r="K24" s="143"/>
      <c r="L24" s="143"/>
      <c r="P24" s="173"/>
      <c r="U24" s="172" t="s">
        <v>499</v>
      </c>
    </row>
    <row r="25" spans="1:39" ht="24.6" customHeight="1" thickBot="1" x14ac:dyDescent="0.3">
      <c r="K25" s="143"/>
      <c r="L25" s="143"/>
      <c r="P25" s="173" t="s">
        <v>356</v>
      </c>
      <c r="Q25" s="172">
        <v>15</v>
      </c>
      <c r="R25" s="172" t="s">
        <v>354</v>
      </c>
      <c r="U25" s="181">
        <f>Pomery_vykonu!AN53</f>
        <v>3.3804133333333333</v>
      </c>
    </row>
    <row r="26" spans="1:39" ht="22.15" customHeight="1" thickBot="1" x14ac:dyDescent="0.3">
      <c r="D26" s="212" t="s">
        <v>391</v>
      </c>
      <c r="E26" s="213"/>
      <c r="F26" s="214"/>
      <c r="H26" s="225" t="s">
        <v>387</v>
      </c>
      <c r="I26" s="226"/>
      <c r="J26" s="227"/>
      <c r="K26" s="143"/>
      <c r="L26" s="143"/>
      <c r="P26" s="173" t="s">
        <v>358</v>
      </c>
      <c r="Q26" s="172">
        <v>42</v>
      </c>
      <c r="R26" s="172" t="s">
        <v>354</v>
      </c>
      <c r="U26" s="172" t="s">
        <v>500</v>
      </c>
    </row>
    <row r="27" spans="1:39" ht="22.15" customHeight="1" x14ac:dyDescent="0.25">
      <c r="D27" s="84" t="str">
        <f>"Výkon TČ při" &amp;E14&amp; " °C"</f>
        <v>Výkon TČ při-12 °C</v>
      </c>
      <c r="E27" s="238">
        <f>Pomery_vykonu!AF6</f>
        <v>120.10344827586206</v>
      </c>
      <c r="F27" s="239"/>
      <c r="H27" s="215" t="s">
        <v>334</v>
      </c>
      <c r="I27" s="216"/>
      <c r="J27" s="192">
        <v>200</v>
      </c>
      <c r="K27" s="143"/>
      <c r="L27" s="143"/>
      <c r="P27" s="173" t="s">
        <v>359</v>
      </c>
      <c r="Q27" s="172">
        <v>181</v>
      </c>
      <c r="R27" s="172" t="s">
        <v>354</v>
      </c>
      <c r="U27" s="181">
        <f>Pomery_vykonu!AN54</f>
        <v>2.6986355555555557</v>
      </c>
    </row>
    <row r="28" spans="1:39" ht="22.15" customHeight="1" x14ac:dyDescent="0.25">
      <c r="D28" s="85" t="str">
        <f>"Výkon bivalence při"&amp;E14&amp; "°C"</f>
        <v>Výkon bivalence při-12°C</v>
      </c>
      <c r="E28" s="240">
        <f>Pomery_vykonu!B56</f>
        <v>65.896551724137936</v>
      </c>
      <c r="F28" s="241"/>
      <c r="H28" s="219" t="str">
        <f>"Stav zateplení budovy ("&amp;VLOOKUP(J28,P12:R15,3,FALSE)*1000&amp;" W/m2)"</f>
        <v>Stav zateplení budovy (30 W/m2)</v>
      </c>
      <c r="I28" s="220"/>
      <c r="J28" s="190" t="s">
        <v>360</v>
      </c>
      <c r="K28" s="143"/>
      <c r="L28" s="143"/>
      <c r="P28" s="182" t="s">
        <v>393</v>
      </c>
    </row>
    <row r="29" spans="1:39" ht="22.15" customHeight="1" thickBot="1" x14ac:dyDescent="0.3">
      <c r="D29" s="86" t="s">
        <v>381</v>
      </c>
      <c r="E29" s="242">
        <f>Pomery_vykonu!B71</f>
        <v>-4</v>
      </c>
      <c r="F29" s="243"/>
      <c r="H29" s="217" t="s">
        <v>341</v>
      </c>
      <c r="I29" s="218"/>
      <c r="J29" s="154">
        <f>J27*(VLOOKUP(J28,P12:R15,3,FALSE))</f>
        <v>6</v>
      </c>
      <c r="K29" s="143"/>
      <c r="L29" s="143"/>
      <c r="P29" s="181">
        <f>Pomery_vykonu!AR46</f>
        <v>419.22037029660174</v>
      </c>
      <c r="Q29" s="172" t="s">
        <v>114</v>
      </c>
      <c r="R29" s="183"/>
      <c r="S29" s="172" t="s">
        <v>484</v>
      </c>
    </row>
    <row r="30" spans="1:39" ht="22.15" customHeight="1" thickBot="1" x14ac:dyDescent="0.3">
      <c r="K30" s="143"/>
      <c r="L30" s="143"/>
      <c r="P30" s="181">
        <f>Pomery_vykonu!AS46</f>
        <v>8.0142867671101516</v>
      </c>
      <c r="Q30" s="172" t="s">
        <v>114</v>
      </c>
      <c r="S30" s="172" t="s">
        <v>485</v>
      </c>
      <c r="U30" s="172" t="s">
        <v>502</v>
      </c>
    </row>
    <row r="31" spans="1:39" ht="22.15" customHeight="1" thickBot="1" x14ac:dyDescent="0.3">
      <c r="A31" s="143"/>
      <c r="B31" s="143"/>
      <c r="C31" s="143"/>
      <c r="D31" s="212" t="s">
        <v>395</v>
      </c>
      <c r="E31" s="213"/>
      <c r="F31" s="214"/>
      <c r="H31" s="247" t="s">
        <v>386</v>
      </c>
      <c r="I31" s="248"/>
      <c r="J31" s="249"/>
      <c r="K31" s="143"/>
      <c r="L31" s="143"/>
      <c r="M31" s="143"/>
      <c r="N31" s="143"/>
      <c r="P31" s="184">
        <f>P29/(P29+P30)</f>
        <v>0.98124148723750426</v>
      </c>
      <c r="Q31" s="172" t="s">
        <v>22</v>
      </c>
      <c r="S31" s="172" t="s">
        <v>486</v>
      </c>
      <c r="U31" s="181">
        <f>P29+P39+P40</f>
        <v>536.54597029660181</v>
      </c>
      <c r="V31" s="172" t="s">
        <v>114</v>
      </c>
      <c r="W31" s="185">
        <f>U31/(U31+U33)</f>
        <v>0.985283012002522</v>
      </c>
      <c r="AL31" s="163"/>
      <c r="AM31" s="163"/>
    </row>
    <row r="32" spans="1:39" ht="22.15" customHeight="1" x14ac:dyDescent="0.25">
      <c r="A32" s="143"/>
      <c r="B32" s="143"/>
      <c r="C32" s="143"/>
      <c r="D32" s="84" t="s">
        <v>483</v>
      </c>
      <c r="E32" s="208" t="str">
        <f>ROUND(P29,2)&amp;" MWh ; "&amp;ROUND(P31*100,1)&amp;" %"</f>
        <v>419,22 MWh ; 98,1 %</v>
      </c>
      <c r="F32" s="209"/>
      <c r="G32" s="143"/>
      <c r="H32" s="250" t="s">
        <v>382</v>
      </c>
      <c r="I32" s="251"/>
      <c r="J32" s="192">
        <v>80</v>
      </c>
      <c r="K32" s="143"/>
      <c r="L32" s="143"/>
      <c r="M32" s="143"/>
      <c r="N32" s="143"/>
      <c r="P32" s="184">
        <f>1-P31</f>
        <v>1.8758512762495738E-2</v>
      </c>
      <c r="Q32" s="172" t="s">
        <v>22</v>
      </c>
      <c r="S32" s="172" t="s">
        <v>487</v>
      </c>
      <c r="U32" s="172" t="s">
        <v>503</v>
      </c>
      <c r="AL32" s="163"/>
      <c r="AM32" s="163"/>
    </row>
    <row r="33" spans="1:39" ht="22.15" customHeight="1" x14ac:dyDescent="0.25">
      <c r="A33" s="143"/>
      <c r="B33" s="143"/>
      <c r="C33" s="143"/>
      <c r="D33" s="85" t="s">
        <v>535</v>
      </c>
      <c r="E33" s="223" t="str">
        <f>ROUND(P30,2)&amp;" MWh ; "&amp;ROUND(P32*100,1)&amp;" %"</f>
        <v>8,01 MWh ; 1,9 %</v>
      </c>
      <c r="F33" s="224"/>
      <c r="G33" s="143"/>
      <c r="H33" s="254" t="s">
        <v>383</v>
      </c>
      <c r="I33" s="255"/>
      <c r="J33" s="190" t="s">
        <v>355</v>
      </c>
      <c r="K33" s="143"/>
      <c r="L33" s="143"/>
      <c r="M33" s="143"/>
      <c r="N33" s="143"/>
      <c r="P33" s="172" t="s">
        <v>394</v>
      </c>
      <c r="U33" s="181">
        <f>P30+P41</f>
        <v>8.0142867671101516</v>
      </c>
      <c r="V33" s="172" t="s">
        <v>114</v>
      </c>
      <c r="W33" s="185">
        <f>1-W31</f>
        <v>1.4716987997478004E-2</v>
      </c>
      <c r="AL33" s="163"/>
      <c r="AM33" s="162"/>
    </row>
    <row r="34" spans="1:39" ht="22.15" customHeight="1" thickBot="1" x14ac:dyDescent="0.3">
      <c r="A34" s="143"/>
      <c r="B34" s="143"/>
      <c r="C34" s="143"/>
      <c r="D34" s="86" t="s">
        <v>507</v>
      </c>
      <c r="E34" s="210" t="str">
        <f>ROUND(T40,2)&amp;" MWh"</f>
        <v>117,33 MWh</v>
      </c>
      <c r="F34" s="211"/>
      <c r="G34" s="143"/>
      <c r="H34" s="252" t="s">
        <v>384</v>
      </c>
      <c r="I34" s="253"/>
      <c r="J34" s="193">
        <f>VLOOKUP(J33,P21:Q27,2,FALSE)</f>
        <v>82</v>
      </c>
      <c r="K34" s="143"/>
      <c r="L34" s="143"/>
      <c r="M34" s="143"/>
      <c r="N34" s="143"/>
      <c r="P34" s="181">
        <f>Pomery_vykonu!AT55</f>
        <v>124.01452986910923</v>
      </c>
      <c r="Q34" s="172" t="s">
        <v>114</v>
      </c>
      <c r="U34" s="172" t="s">
        <v>504</v>
      </c>
      <c r="AL34" s="163"/>
      <c r="AM34" s="162"/>
    </row>
    <row r="35" spans="1:39" ht="22.15" customHeight="1" thickBot="1" x14ac:dyDescent="0.3">
      <c r="A35" s="143"/>
      <c r="B35" s="143"/>
      <c r="C35" s="143"/>
      <c r="G35" s="143"/>
      <c r="H35" s="256" t="s">
        <v>348</v>
      </c>
      <c r="I35" s="257"/>
      <c r="J35" s="164">
        <f>TV!B13</f>
        <v>167608.00000000003</v>
      </c>
      <c r="K35" s="143"/>
      <c r="L35" s="143"/>
      <c r="M35" s="143"/>
      <c r="N35" s="143"/>
      <c r="P35" s="181">
        <f>Pomery_vykonu!AT56</f>
        <v>8.0142867671101516</v>
      </c>
      <c r="Q35" s="172" t="s">
        <v>114</v>
      </c>
      <c r="U35" s="181">
        <f>P34+P44+P45</f>
        <v>162.50346728918669</v>
      </c>
      <c r="V35" s="172" t="s">
        <v>114</v>
      </c>
      <c r="W35" s="185">
        <f>U35/(U35+U37)</f>
        <v>0.95300027958106803</v>
      </c>
    </row>
    <row r="36" spans="1:39" ht="22.15" customHeight="1" thickBot="1" x14ac:dyDescent="0.3">
      <c r="A36" s="143"/>
      <c r="B36" s="143"/>
      <c r="C36" s="143"/>
      <c r="D36" s="212" t="s">
        <v>392</v>
      </c>
      <c r="E36" s="213"/>
      <c r="F36" s="214"/>
      <c r="G36" s="143"/>
      <c r="H36" s="219" t="s">
        <v>385</v>
      </c>
      <c r="I36" s="220"/>
      <c r="J36" s="190">
        <v>0.7</v>
      </c>
      <c r="K36" s="143"/>
      <c r="L36" s="143"/>
      <c r="M36" s="143"/>
      <c r="N36" s="143"/>
      <c r="P36" s="184">
        <f>P34/(P34+P35)</f>
        <v>0.9392989578237908</v>
      </c>
      <c r="Q36" s="172" t="s">
        <v>22</v>
      </c>
      <c r="U36" s="172" t="s">
        <v>505</v>
      </c>
    </row>
    <row r="37" spans="1:39" ht="22.15" customHeight="1" thickBot="1" x14ac:dyDescent="0.3">
      <c r="A37" s="143"/>
      <c r="B37" s="143"/>
      <c r="C37" s="143"/>
      <c r="D37" s="84" t="s">
        <v>488</v>
      </c>
      <c r="E37" s="208" t="str">
        <f>ROUND(P34,2)&amp;" MWh ; "&amp;ROUND(P36*100,1)&amp;" %"</f>
        <v>124,01 MWh ; 93,9 %</v>
      </c>
      <c r="F37" s="209"/>
      <c r="G37" s="143"/>
      <c r="H37" s="217" t="s">
        <v>350</v>
      </c>
      <c r="I37" s="218"/>
      <c r="J37" s="165">
        <f>J35*J36</f>
        <v>117325.6</v>
      </c>
      <c r="K37" s="143"/>
      <c r="L37" s="143"/>
      <c r="M37" s="143"/>
      <c r="N37" s="143"/>
      <c r="P37" s="184">
        <f>1-P36</f>
        <v>6.0701042176209197E-2</v>
      </c>
      <c r="Q37" s="172" t="s">
        <v>22</v>
      </c>
      <c r="U37" s="181">
        <f>P35+P46</f>
        <v>8.0142867671101516</v>
      </c>
      <c r="V37" s="172" t="s">
        <v>114</v>
      </c>
      <c r="W37" s="185">
        <f>1-W35</f>
        <v>4.6999720418931967E-2</v>
      </c>
    </row>
    <row r="38" spans="1:39" ht="22.15" customHeight="1" thickBot="1" x14ac:dyDescent="0.3">
      <c r="A38" s="143"/>
      <c r="B38" s="147"/>
      <c r="C38" s="147"/>
      <c r="D38" s="85" t="s">
        <v>489</v>
      </c>
      <c r="E38" s="223" t="str">
        <f>ROUND(P35,2)&amp;" MWh ; "&amp;ROUND(P37*100,1)&amp;" %"</f>
        <v>8,01 MWh ; 6,1 %</v>
      </c>
      <c r="F38" s="224"/>
      <c r="G38" s="143"/>
      <c r="H38" s="281" t="s">
        <v>579</v>
      </c>
      <c r="I38" s="282"/>
      <c r="J38" s="283"/>
      <c r="K38" s="143"/>
      <c r="L38" s="143"/>
      <c r="M38" s="143"/>
      <c r="N38" s="143"/>
      <c r="P38" s="172" t="s">
        <v>116</v>
      </c>
    </row>
    <row r="39" spans="1:39" ht="22.15" customHeight="1" thickBot="1" x14ac:dyDescent="0.3">
      <c r="A39" s="143"/>
      <c r="B39" s="147"/>
      <c r="C39" s="147"/>
      <c r="D39" s="86" t="s">
        <v>495</v>
      </c>
      <c r="E39" s="210" t="str">
        <f>ROUND(P47,2)&amp;" MWh"</f>
        <v>38,49 MWh</v>
      </c>
      <c r="F39" s="211"/>
      <c r="H39" s="221" t="s">
        <v>346</v>
      </c>
      <c r="I39" s="222"/>
      <c r="J39" s="166">
        <f>MAX(J14,J29)</f>
        <v>186</v>
      </c>
      <c r="K39" s="143"/>
      <c r="L39" s="143"/>
      <c r="M39" s="143"/>
      <c r="N39" s="143"/>
      <c r="P39" s="181">
        <f>Pomery_vykonu!AL61</f>
        <v>72.324000000000012</v>
      </c>
      <c r="Q39" s="172" t="s">
        <v>114</v>
      </c>
      <c r="R39" s="172" t="s">
        <v>491</v>
      </c>
      <c r="T39" s="172" t="s">
        <v>494</v>
      </c>
    </row>
    <row r="40" spans="1:39" ht="22.15" customHeight="1" x14ac:dyDescent="0.25">
      <c r="A40" s="143"/>
      <c r="B40" s="167"/>
      <c r="C40" s="167"/>
      <c r="G40" s="143"/>
      <c r="H40" s="143"/>
      <c r="I40" s="143"/>
      <c r="J40" s="143"/>
      <c r="K40" s="143"/>
      <c r="L40" s="143"/>
      <c r="M40" s="143"/>
      <c r="N40" s="143"/>
      <c r="P40" s="172">
        <f>Pomery_vykonu!AH64</f>
        <v>45.001599999999996</v>
      </c>
      <c r="Q40" s="172" t="s">
        <v>492</v>
      </c>
      <c r="R40" s="172" t="s">
        <v>493</v>
      </c>
      <c r="T40" s="186">
        <f>P40+P39+P41</f>
        <v>117.32560000000001</v>
      </c>
      <c r="U40" s="172" t="s">
        <v>114</v>
      </c>
    </row>
    <row r="41" spans="1:39" ht="22.15" customHeight="1" x14ac:dyDescent="0.25">
      <c r="A41" s="143"/>
      <c r="B41" s="168"/>
      <c r="C41" s="168"/>
      <c r="G41" s="143"/>
      <c r="H41" s="143"/>
      <c r="I41" s="143"/>
      <c r="J41" s="143"/>
      <c r="K41" s="143"/>
      <c r="L41" s="143"/>
      <c r="M41" s="143"/>
      <c r="N41" s="143"/>
      <c r="P41" s="181">
        <f>Pomery_vykonu!AL62</f>
        <v>0</v>
      </c>
      <c r="Q41" s="172" t="s">
        <v>490</v>
      </c>
    </row>
    <row r="42" spans="1:39" ht="22.15" customHeight="1" x14ac:dyDescent="0.25">
      <c r="A42" s="143"/>
      <c r="B42" s="168"/>
      <c r="C42" s="168"/>
      <c r="G42" s="143"/>
      <c r="H42" s="143"/>
      <c r="I42" s="143"/>
      <c r="J42" s="143"/>
      <c r="K42" s="143"/>
      <c r="L42" s="143"/>
      <c r="M42" s="143"/>
      <c r="N42" s="143"/>
      <c r="P42" s="181"/>
    </row>
    <row r="43" spans="1:39" ht="22.15" customHeight="1" x14ac:dyDescent="0.25">
      <c r="A43" s="143"/>
      <c r="B43" s="168"/>
      <c r="C43" s="168"/>
      <c r="G43" s="143"/>
      <c r="H43" s="143"/>
      <c r="I43" s="143"/>
      <c r="J43" s="143"/>
      <c r="K43" s="143"/>
      <c r="L43" s="143"/>
      <c r="M43" s="143"/>
      <c r="N43" s="143"/>
      <c r="P43" s="172" t="s">
        <v>496</v>
      </c>
    </row>
    <row r="44" spans="1:39" ht="22.15" customHeight="1" thickBot="1" x14ac:dyDescent="0.3">
      <c r="A44" s="143"/>
      <c r="B44" s="168"/>
      <c r="C44" s="168"/>
      <c r="D44" s="143"/>
      <c r="E44" s="143"/>
      <c r="F44" s="169"/>
      <c r="G44" s="143"/>
      <c r="H44" s="143"/>
      <c r="I44" s="143"/>
      <c r="J44" s="143"/>
      <c r="K44" s="143"/>
      <c r="L44" s="143"/>
      <c r="M44" s="143"/>
      <c r="N44" s="143"/>
      <c r="P44" s="181">
        <f>Pomery_vykonu!AO61</f>
        <v>26.800210147350185</v>
      </c>
      <c r="Q44" s="172" t="s">
        <v>114</v>
      </c>
      <c r="R44" s="172" t="s">
        <v>491</v>
      </c>
    </row>
    <row r="45" spans="1:39" ht="22.15" customHeight="1" thickBot="1" x14ac:dyDescent="0.3">
      <c r="A45" s="143"/>
      <c r="B45" s="143"/>
      <c r="C45" s="143"/>
      <c r="D45" s="212" t="s">
        <v>395</v>
      </c>
      <c r="E45" s="213"/>
      <c r="F45" s="214"/>
      <c r="G45" s="143"/>
      <c r="H45" s="212" t="s">
        <v>392</v>
      </c>
      <c r="I45" s="213"/>
      <c r="J45" s="214"/>
      <c r="K45" s="143"/>
      <c r="L45" s="143"/>
      <c r="M45" s="143"/>
      <c r="N45" s="143"/>
      <c r="P45" s="181">
        <f>Pomery_vykonu!AH67</f>
        <v>11.688727272727272</v>
      </c>
      <c r="Q45" s="172" t="s">
        <v>492</v>
      </c>
      <c r="R45" s="172" t="s">
        <v>497</v>
      </c>
    </row>
    <row r="46" spans="1:39" ht="22.15" customHeight="1" x14ac:dyDescent="0.25">
      <c r="A46" s="143"/>
      <c r="B46" s="143"/>
      <c r="C46" s="143"/>
      <c r="D46" s="84" t="s">
        <v>506</v>
      </c>
      <c r="E46" s="208" t="str">
        <f>ROUND(U31,2)&amp;" MWh ; "&amp;ROUND(W31*100,1)&amp;" %"</f>
        <v>536,55 MWh ; 98,5 %</v>
      </c>
      <c r="F46" s="209"/>
      <c r="G46" s="143"/>
      <c r="H46" s="215" t="s">
        <v>509</v>
      </c>
      <c r="I46" s="216"/>
      <c r="J46" s="170" t="str">
        <f>ROUND(U35,2)&amp;" MWh ; "&amp;ROUND(W35*100,1)&amp;" %"</f>
        <v>162,5 MWh ; 95,3 %</v>
      </c>
      <c r="K46" s="145"/>
      <c r="L46" s="145"/>
      <c r="M46" s="145"/>
      <c r="N46" s="143"/>
      <c r="P46" s="181">
        <f>Pomery_vykonu!AO62</f>
        <v>0</v>
      </c>
      <c r="Q46" s="172" t="s">
        <v>114</v>
      </c>
      <c r="R46" s="172" t="s">
        <v>498</v>
      </c>
    </row>
    <row r="47" spans="1:39" ht="22.15" customHeight="1" thickBot="1" x14ac:dyDescent="0.3">
      <c r="A47" s="143"/>
      <c r="B47" s="143"/>
      <c r="C47" s="143"/>
      <c r="D47" s="86" t="s">
        <v>508</v>
      </c>
      <c r="E47" s="210" t="str">
        <f>ROUND(U33,2)&amp;" MWh ; "&amp;ROUND(W33*100,1)&amp;" %"</f>
        <v>8,01 MWh ; 1,5 %</v>
      </c>
      <c r="F47" s="211"/>
      <c r="G47" s="143"/>
      <c r="H47" s="217" t="s">
        <v>510</v>
      </c>
      <c r="I47" s="218"/>
      <c r="J47" s="154" t="str">
        <f>ROUND(U37,2)&amp;" MWh ; "&amp;ROUND(W37*100,1)&amp;" %"</f>
        <v>8,01 MWh ; 4,7 %</v>
      </c>
      <c r="K47" s="171"/>
      <c r="L47" s="145"/>
      <c r="M47" s="145"/>
      <c r="N47" s="143"/>
      <c r="P47" s="181">
        <f>SUM(P44:P46)</f>
        <v>38.488937420077455</v>
      </c>
      <c r="Q47" s="172" t="s">
        <v>114</v>
      </c>
      <c r="R47" s="172" t="s">
        <v>278</v>
      </c>
    </row>
    <row r="48" spans="1:39" ht="22.15" customHeight="1" x14ac:dyDescent="0.25">
      <c r="A48" s="143"/>
      <c r="B48" s="143"/>
      <c r="C48" s="143"/>
      <c r="D48" s="143"/>
      <c r="E48" s="143"/>
      <c r="F48" s="143"/>
      <c r="G48" s="143"/>
      <c r="H48" s="145"/>
      <c r="I48" s="145"/>
      <c r="J48" s="145"/>
      <c r="K48" s="145"/>
      <c r="L48" s="145"/>
      <c r="M48" s="145"/>
      <c r="N48" s="143"/>
    </row>
    <row r="49" spans="1:14" ht="22.15" customHeight="1" x14ac:dyDescent="0.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</row>
    <row r="50" spans="1:14" ht="22.15" customHeight="1" x14ac:dyDescent="0.2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</row>
    <row r="51" spans="1:14" ht="22.15" customHeight="1" x14ac:dyDescent="0.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</row>
    <row r="52" spans="1:14" ht="22.15" customHeight="1" x14ac:dyDescent="0.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</row>
    <row r="53" spans="1:14" ht="22.15" customHeight="1" x14ac:dyDescent="0.2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54" spans="1:14" ht="22.15" customHeight="1" x14ac:dyDescent="0.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</row>
    <row r="55" spans="1:14" ht="22.15" customHeight="1" x14ac:dyDescent="0.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</row>
    <row r="56" spans="1:14" ht="22.15" customHeight="1" x14ac:dyDescent="0.2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4" ht="22.15" customHeight="1" x14ac:dyDescent="0.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</row>
    <row r="58" spans="1:14" ht="22.15" customHeight="1" x14ac:dyDescent="0.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</row>
    <row r="59" spans="1:14" ht="22.15" customHeight="1" x14ac:dyDescent="0.2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4" ht="22.15" customHeight="1" x14ac:dyDescent="0.2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</row>
    <row r="61" spans="1:14" ht="22.15" customHeight="1" x14ac:dyDescent="0.2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1:14" ht="22.15" customHeight="1" x14ac:dyDescent="0.2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1:14" ht="22.15" customHeight="1" x14ac:dyDescent="0.2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</row>
    <row r="64" spans="1:14" ht="22.15" customHeight="1" x14ac:dyDescent="0.2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</row>
    <row r="65" spans="1:14" ht="22.15" customHeight="1" x14ac:dyDescent="0.2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</row>
    <row r="66" spans="1:14" ht="22.15" customHeight="1" x14ac:dyDescent="0.25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</row>
    <row r="67" spans="1:14" ht="22.15" customHeight="1" x14ac:dyDescent="0.2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</row>
    <row r="68" spans="1:14" ht="22.15" customHeight="1" x14ac:dyDescent="0.2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 ht="22.15" customHeight="1" x14ac:dyDescent="0.2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</row>
    <row r="70" spans="1:14" ht="22.15" customHeight="1" x14ac:dyDescent="0.25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</row>
    <row r="71" spans="1:14" ht="22.15" customHeight="1" x14ac:dyDescent="0.2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 ht="22.15" customHeight="1" x14ac:dyDescent="0.25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</row>
    <row r="73" spans="1:14" ht="22.15" customHeight="1" x14ac:dyDescent="0.25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</row>
    <row r="74" spans="1:14" ht="22.15" customHeight="1" x14ac:dyDescent="0.2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14" ht="22.15" customHeight="1" x14ac:dyDescent="0.25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</row>
    <row r="76" spans="1:14" ht="22.15" customHeight="1" x14ac:dyDescent="0.2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</row>
    <row r="77" spans="1:14" ht="22.15" customHeight="1" x14ac:dyDescent="0.2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 ht="22.15" customHeight="1" x14ac:dyDescent="0.25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</row>
    <row r="79" spans="1:14" ht="22.15" customHeight="1" x14ac:dyDescent="0.2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</row>
    <row r="80" spans="1:14" ht="22.15" customHeight="1" x14ac:dyDescent="0.2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 ht="22.15" customHeight="1" x14ac:dyDescent="0.25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</row>
    <row r="82" spans="1:14" ht="22.15" customHeight="1" x14ac:dyDescent="0.25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</row>
    <row r="83" spans="1:14" ht="22.15" customHeight="1" x14ac:dyDescent="0.2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 ht="22.15" customHeight="1" x14ac:dyDescent="0.25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</row>
    <row r="85" spans="1:14" ht="22.15" customHeight="1" x14ac:dyDescent="0.25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</row>
    <row r="86" spans="1:14" ht="22.15" customHeight="1" x14ac:dyDescent="0.25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</row>
    <row r="87" spans="1:14" ht="22.15" customHeight="1" x14ac:dyDescent="0.25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</row>
    <row r="88" spans="1:14" ht="22.15" customHeight="1" x14ac:dyDescent="0.25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</row>
    <row r="89" spans="1:14" ht="22.15" customHeight="1" x14ac:dyDescent="0.25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</row>
    <row r="90" spans="1:14" ht="22.15" customHeight="1" x14ac:dyDescent="0.25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</row>
    <row r="91" spans="1:14" ht="22.15" customHeight="1" x14ac:dyDescent="0.25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</row>
    <row r="92" spans="1:14" ht="22.15" customHeight="1" x14ac:dyDescent="0.25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</row>
    <row r="93" spans="1:14" ht="22.15" customHeight="1" x14ac:dyDescent="0.25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</row>
    <row r="94" spans="1:14" ht="22.15" customHeight="1" x14ac:dyDescent="0.25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</row>
    <row r="95" spans="1:14" ht="22.15" customHeight="1" x14ac:dyDescent="0.25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</row>
    <row r="96" spans="1:14" ht="22.15" customHeight="1" x14ac:dyDescent="0.25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</row>
    <row r="97" spans="1:14" ht="22.15" customHeight="1" x14ac:dyDescent="0.25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</row>
    <row r="98" spans="1:14" ht="22.15" customHeight="1" x14ac:dyDescent="0.25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</row>
    <row r="99" spans="1:14" x14ac:dyDescent="0.25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</row>
  </sheetData>
  <sheetProtection algorithmName="SHA-512" hashValue="SBaa3uypqW3BQ0HH8E6buw6GQbW+erBZgBNrwX6rOHJqGpxrznrfcpRBuJ6Z2RE7nhb7ZCGN7IZItbKew6AcNA==" saltValue="bCOT0QVhhMnEqTDNBzGRwQ==" spinCount="100000" sheet="1" objects="1" scenarios="1"/>
  <mergeCells count="56">
    <mergeCell ref="D5:J6"/>
    <mergeCell ref="E8:F8"/>
    <mergeCell ref="E9:F9"/>
    <mergeCell ref="D10:F10"/>
    <mergeCell ref="E14:F14"/>
    <mergeCell ref="H8:J8"/>
    <mergeCell ref="E13:F13"/>
    <mergeCell ref="H10:I10"/>
    <mergeCell ref="H11:I11"/>
    <mergeCell ref="H9:I9"/>
    <mergeCell ref="H12:I12"/>
    <mergeCell ref="H13:I13"/>
    <mergeCell ref="H14:I14"/>
    <mergeCell ref="D12:F12"/>
    <mergeCell ref="E15:F15"/>
    <mergeCell ref="E16:F16"/>
    <mergeCell ref="E19:F19"/>
    <mergeCell ref="E34:F34"/>
    <mergeCell ref="E27:F27"/>
    <mergeCell ref="E32:F32"/>
    <mergeCell ref="E33:F33"/>
    <mergeCell ref="E28:F28"/>
    <mergeCell ref="E29:F29"/>
    <mergeCell ref="D18:F18"/>
    <mergeCell ref="D31:F31"/>
    <mergeCell ref="H26:J26"/>
    <mergeCell ref="E20:F20"/>
    <mergeCell ref="E21:F21"/>
    <mergeCell ref="D26:F26"/>
    <mergeCell ref="H27:I27"/>
    <mergeCell ref="H28:I28"/>
    <mergeCell ref="H29:I29"/>
    <mergeCell ref="E39:F39"/>
    <mergeCell ref="H38:J38"/>
    <mergeCell ref="D45:F45"/>
    <mergeCell ref="H39:I39"/>
    <mergeCell ref="E38:F38"/>
    <mergeCell ref="D36:F36"/>
    <mergeCell ref="E37:F37"/>
    <mergeCell ref="H36:I36"/>
    <mergeCell ref="H37:I37"/>
    <mergeCell ref="H31:J31"/>
    <mergeCell ref="H32:I32"/>
    <mergeCell ref="H34:I34"/>
    <mergeCell ref="H33:I33"/>
    <mergeCell ref="H35:I35"/>
    <mergeCell ref="E46:F46"/>
    <mergeCell ref="E47:F47"/>
    <mergeCell ref="H45:J45"/>
    <mergeCell ref="H46:I46"/>
    <mergeCell ref="H47:I47"/>
    <mergeCell ref="H15:J15"/>
    <mergeCell ref="H16:J16"/>
    <mergeCell ref="H18:I18"/>
    <mergeCell ref="H19:I19"/>
    <mergeCell ref="H22:J22"/>
  </mergeCells>
  <dataValidations disablePrompts="1" count="3">
    <dataValidation type="list" allowBlank="1" showInputMessage="1" showErrorMessage="1" sqref="J28" xr:uid="{14023895-574C-49DE-8347-FCA52E7C3F8C}">
      <formula1>$P$12:$P$15</formula1>
    </dataValidation>
    <dataValidation type="list" allowBlank="1" showInputMessage="1" showErrorMessage="1" sqref="E21:F21" xr:uid="{F6951F8F-767B-47F7-8F76-A5EA9FB73644}">
      <formula1>$P$8:$P$10</formula1>
    </dataValidation>
    <dataValidation type="list" allowBlank="1" showInputMessage="1" showErrorMessage="1" sqref="J33" xr:uid="{FCC756B2-98E6-40A5-A357-08C25EC61961}">
      <formula1>$P$21:$P$27</formula1>
    </dataValidation>
  </dataValidations>
  <pageMargins left="0.25" right="0.25" top="0.75" bottom="0.75" header="0.3" footer="0.3"/>
  <pageSetup paperSize="9" orientation="landscape" r:id="rId1"/>
  <ignoredErrors>
    <ignoredError sqref="J1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CDCF1AB2-781A-4678-9C9D-2CCBEA6528BF}">
          <x14:formula1>
            <xm:f>lokality!$A$6:$A$77</xm:f>
          </x14:formula1>
          <xm:sqref>E13</xm:sqref>
        </x14:dataValidation>
        <x14:dataValidation type="list" allowBlank="1" showInputMessage="1" showErrorMessage="1" xr:uid="{BF71A841-DBAE-4D07-A83A-FC5AA2463354}">
          <x14:formula1>
            <xm:f>Vyber_typu!$G$5:$G$62</xm:f>
          </x14:formula1>
          <xm:sqref>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B5AF7-39CC-4768-B3B0-6E72E2C5858A}">
  <dimension ref="A1:CK672"/>
  <sheetViews>
    <sheetView topLeftCell="A89" zoomScale="55" zoomScaleNormal="55" workbookViewId="0">
      <selection activeCell="AY110" sqref="AY110"/>
    </sheetView>
  </sheetViews>
  <sheetFormatPr defaultRowHeight="15" x14ac:dyDescent="0.25"/>
  <cols>
    <col min="1" max="1" width="13.28515625" customWidth="1"/>
    <col min="2" max="2" width="8.5703125" customWidth="1"/>
    <col min="4" max="4" width="12.28515625" bestFit="1" customWidth="1"/>
    <col min="8" max="8" width="18.7109375" customWidth="1"/>
    <col min="9" max="9" width="6.42578125" customWidth="1"/>
    <col min="10" max="10" width="9.7109375" customWidth="1"/>
    <col min="14" max="14" width="6.140625" customWidth="1"/>
    <col min="16" max="16" width="8.42578125" style="2" customWidth="1"/>
    <col min="23" max="23" width="8.7109375" customWidth="1"/>
    <col min="24" max="24" width="10" customWidth="1"/>
    <col min="28" max="28" width="11.28515625" bestFit="1" customWidth="1"/>
    <col min="29" max="31" width="11.28515625" customWidth="1"/>
    <col min="32" max="32" width="11.28515625" bestFit="1" customWidth="1"/>
    <col min="33" max="36" width="11.28515625" customWidth="1"/>
    <col min="40" max="40" width="8.7109375" customWidth="1"/>
    <col min="42" max="42" width="8.7109375" customWidth="1"/>
    <col min="43" max="43" width="9.28515625" customWidth="1"/>
  </cols>
  <sheetData>
    <row r="1" spans="1:89" x14ac:dyDescent="0.25">
      <c r="A1" s="4"/>
      <c r="B1" s="14" t="s">
        <v>120</v>
      </c>
      <c r="C1" s="14"/>
      <c r="D1" s="14"/>
      <c r="E1" s="14"/>
      <c r="F1" s="14"/>
      <c r="G1" s="14"/>
      <c r="L1" t="s">
        <v>16</v>
      </c>
      <c r="N1" s="1" t="s">
        <v>20</v>
      </c>
      <c r="W1" t="s">
        <v>124</v>
      </c>
    </row>
    <row r="2" spans="1:89" ht="13.9" customHeight="1" x14ac:dyDescent="0.25">
      <c r="A2" s="29"/>
      <c r="B2" t="s">
        <v>121</v>
      </c>
      <c r="N2" t="s">
        <v>15</v>
      </c>
      <c r="CK2" t="s">
        <v>123</v>
      </c>
    </row>
    <row r="3" spans="1:89" x14ac:dyDescent="0.25">
      <c r="A3" s="21"/>
      <c r="B3" t="s">
        <v>159</v>
      </c>
      <c r="N3" s="10" t="s">
        <v>17</v>
      </c>
      <c r="O3" s="10"/>
      <c r="P3" s="17"/>
      <c r="Q3" s="10"/>
      <c r="R3" s="10"/>
      <c r="S3" s="10"/>
      <c r="T3" s="270" t="s">
        <v>61</v>
      </c>
      <c r="U3" s="18" t="s">
        <v>115</v>
      </c>
      <c r="AO3" t="s">
        <v>105</v>
      </c>
      <c r="AP3" t="s">
        <v>109</v>
      </c>
      <c r="AQ3" t="s">
        <v>111</v>
      </c>
      <c r="AR3" t="s">
        <v>109</v>
      </c>
      <c r="AS3" t="s">
        <v>111</v>
      </c>
      <c r="CK3" t="s">
        <v>122</v>
      </c>
    </row>
    <row r="4" spans="1:89" ht="16.149999999999999" customHeight="1" x14ac:dyDescent="0.25">
      <c r="A4" t="s">
        <v>251</v>
      </c>
      <c r="B4" s="272" t="str">
        <f>Výpočet!E13</f>
        <v>Praha (Karlov)</v>
      </c>
      <c r="C4" s="272"/>
      <c r="D4" s="272"/>
      <c r="E4" s="272"/>
      <c r="N4" s="10" t="s">
        <v>11</v>
      </c>
      <c r="O4" s="10" t="s">
        <v>18</v>
      </c>
      <c r="P4" s="17" t="s">
        <v>11</v>
      </c>
      <c r="Q4" s="10" t="s">
        <v>17</v>
      </c>
      <c r="R4" s="10" t="s">
        <v>53</v>
      </c>
      <c r="S4" s="10" t="s">
        <v>54</v>
      </c>
      <c r="T4" s="270"/>
      <c r="U4" s="18" t="s">
        <v>116</v>
      </c>
      <c r="W4" t="s">
        <v>18</v>
      </c>
      <c r="X4" t="s">
        <v>53</v>
      </c>
      <c r="Y4" s="43" t="s">
        <v>272</v>
      </c>
      <c r="Z4" s="43" t="s">
        <v>272</v>
      </c>
      <c r="AA4" s="43" t="s">
        <v>271</v>
      </c>
      <c r="AB4" t="s">
        <v>11</v>
      </c>
      <c r="AC4" t="s">
        <v>270</v>
      </c>
      <c r="AD4" t="s">
        <v>266</v>
      </c>
      <c r="AE4" t="s">
        <v>273</v>
      </c>
      <c r="AF4" t="s">
        <v>117</v>
      </c>
      <c r="AG4" t="s">
        <v>281</v>
      </c>
      <c r="AH4" t="s">
        <v>464</v>
      </c>
      <c r="AI4" t="s">
        <v>289</v>
      </c>
      <c r="AJ4" t="s">
        <v>482</v>
      </c>
      <c r="AK4" t="s">
        <v>36</v>
      </c>
      <c r="AL4" t="s">
        <v>125</v>
      </c>
      <c r="AM4" t="s">
        <v>18</v>
      </c>
      <c r="AN4" t="s">
        <v>108</v>
      </c>
      <c r="AO4" t="s">
        <v>106</v>
      </c>
      <c r="AP4" t="s">
        <v>110</v>
      </c>
      <c r="AQ4" t="s">
        <v>112</v>
      </c>
      <c r="AR4" t="s">
        <v>110</v>
      </c>
      <c r="AS4" t="s">
        <v>112</v>
      </c>
      <c r="AT4" t="s">
        <v>276</v>
      </c>
      <c r="AU4" s="68" t="s">
        <v>480</v>
      </c>
      <c r="AV4" s="6" t="s">
        <v>501</v>
      </c>
      <c r="AW4" t="s">
        <v>282</v>
      </c>
    </row>
    <row r="5" spans="1:89" x14ac:dyDescent="0.25">
      <c r="A5" t="s">
        <v>9</v>
      </c>
      <c r="B5" s="36">
        <f>VLOOKUP(Pomery_vykonu!B4,lokality!A6:J77,4,FALSE)</f>
        <v>-12</v>
      </c>
      <c r="C5" t="s">
        <v>1</v>
      </c>
      <c r="D5" t="s">
        <v>10</v>
      </c>
      <c r="N5" s="10" t="s">
        <v>19</v>
      </c>
      <c r="O5" s="10" t="s">
        <v>1</v>
      </c>
      <c r="P5" s="17" t="s">
        <v>17</v>
      </c>
      <c r="Q5" s="10"/>
      <c r="R5" s="10" t="s">
        <v>22</v>
      </c>
      <c r="S5" s="10" t="s">
        <v>35</v>
      </c>
      <c r="T5" s="10" t="s">
        <v>35</v>
      </c>
      <c r="U5" s="10" t="s">
        <v>35</v>
      </c>
      <c r="W5" t="s">
        <v>1</v>
      </c>
      <c r="X5" t="s">
        <v>22</v>
      </c>
      <c r="Y5" t="s">
        <v>35</v>
      </c>
      <c r="AA5" t="s">
        <v>35</v>
      </c>
      <c r="AB5" t="s">
        <v>55</v>
      </c>
      <c r="AD5" t="s">
        <v>35</v>
      </c>
      <c r="AE5" t="s">
        <v>268</v>
      </c>
      <c r="AF5" t="s">
        <v>35</v>
      </c>
      <c r="AK5" t="s">
        <v>35</v>
      </c>
      <c r="AL5" t="s">
        <v>35</v>
      </c>
      <c r="AM5" t="s">
        <v>1</v>
      </c>
      <c r="AN5" t="s">
        <v>19</v>
      </c>
      <c r="AO5" t="s">
        <v>107</v>
      </c>
      <c r="AP5" t="s">
        <v>113</v>
      </c>
      <c r="AQ5" t="s">
        <v>113</v>
      </c>
      <c r="AR5" t="s">
        <v>114</v>
      </c>
      <c r="AS5" t="s">
        <v>114</v>
      </c>
      <c r="AT5" t="s">
        <v>114</v>
      </c>
      <c r="AU5" t="s">
        <v>481</v>
      </c>
      <c r="AW5" t="s">
        <v>114</v>
      </c>
    </row>
    <row r="6" spans="1:89" x14ac:dyDescent="0.25">
      <c r="A6" t="s">
        <v>0</v>
      </c>
      <c r="B6" s="29">
        <v>13</v>
      </c>
      <c r="C6" t="s">
        <v>1</v>
      </c>
      <c r="D6" t="s">
        <v>2</v>
      </c>
      <c r="K6" s="14"/>
      <c r="L6" s="14"/>
      <c r="N6" s="20">
        <v>0</v>
      </c>
      <c r="O6" s="17">
        <f t="shared" ref="O6:O69" si="0">IF(N6=0,$B$5,IF(N6&gt;$B$9,NA(),-($B$6-$B$5)*(1-(N6/$B$9))^(0.985*((N6/$B$9)^(-0.625)))+$B$6))</f>
        <v>-12</v>
      </c>
      <c r="P6" s="17">
        <f>N6</f>
        <v>0</v>
      </c>
      <c r="Q6" s="19">
        <f t="shared" ref="Q6:Q30" si="1" xml:space="preserve"> -0.0232*O6^3 + 0.296*O6^2 + 12.396*O6 + 74.648</f>
        <v>8.6095999999999719</v>
      </c>
      <c r="R6" s="11">
        <f t="shared" ref="R6:R69" si="2">$B$13*($B$8-O6)</f>
        <v>1</v>
      </c>
      <c r="S6" s="19">
        <f t="shared" ref="S6:S69" si="3">R6*$B$20</f>
        <v>186</v>
      </c>
      <c r="T6" s="19">
        <f t="shared" ref="T6:T69" si="4">R6*$B$20</f>
        <v>186</v>
      </c>
      <c r="U6" s="19">
        <f t="shared" ref="U6:U69" si="5">$B$21/2</f>
        <v>83.804000000000016</v>
      </c>
      <c r="V6" s="3"/>
      <c r="W6" s="10">
        <f>IFERROR(B5,0)</f>
        <v>-12</v>
      </c>
      <c r="X6" s="11">
        <f t="shared" ref="X6:X41" si="6">IF(W6&gt;$B$6,0,$B$13*($B$8-W6))</f>
        <v>1</v>
      </c>
      <c r="Y6" s="19">
        <f>Z6</f>
        <v>186</v>
      </c>
      <c r="Z6" s="19">
        <f>X6*$B$20</f>
        <v>186</v>
      </c>
      <c r="AA6" s="17">
        <f>(($B$23*1000)/365)/24</f>
        <v>13.393333333333333</v>
      </c>
      <c r="AB6" s="10">
        <f t="shared" ref="AB6:AB41" si="7">IF(W6&gt;$B$6,0,VLOOKUP(W6,$O$6:$P$606,2,TRUE))</f>
        <v>0</v>
      </c>
      <c r="AC6" s="42">
        <f>AN6</f>
        <v>1</v>
      </c>
      <c r="AD6" s="17">
        <f>(($B$23*1000)/365)/24</f>
        <v>13.393333333333333</v>
      </c>
      <c r="AE6" s="19">
        <f>AD6*24*AC6</f>
        <v>321.44</v>
      </c>
      <c r="AF6" s="19">
        <f>IFERROR(VLOOKUP(W6,Vyber_typu!$M$10:$Q$50,2,FALSE),0)</f>
        <v>120.10344827586206</v>
      </c>
      <c r="AG6" s="19">
        <f>IFERROR(VLOOKUP(W6,Vyber_typu!$M$10:$Q$50,3,FALSE),0)</f>
        <v>2.2800000000000002</v>
      </c>
      <c r="AH6" s="17">
        <f>AG6*AC6</f>
        <v>2.2800000000000002</v>
      </c>
      <c r="AI6" s="17">
        <f>IFERROR(VLOOKUP(W6,Vyber_typu!$M$10:$Q$50,5,FALSE),0)</f>
        <v>1.8499999999999999</v>
      </c>
      <c r="AJ6" s="17">
        <f>AI6*AC6</f>
        <v>1.8499999999999999</v>
      </c>
      <c r="AK6" s="19">
        <f>IF(AK5=0,0,IF(Y6-AF6&lt;0,0,Y6-AF6))</f>
        <v>65.896551724137936</v>
      </c>
      <c r="AL6" s="19">
        <f t="shared" ref="AL6:AL41" si="8">IF(AND(AB6&lt;$B$9,AC6&gt;0),IF(AF6&lt;Y6,AF6,Y6),AD6)</f>
        <v>120.10344827586206</v>
      </c>
      <c r="AM6" s="10">
        <f t="shared" ref="AM6:AM41" si="9">IFERROR(W6,0)</f>
        <v>-12</v>
      </c>
      <c r="AN6" s="10">
        <f t="shared" ref="AN6:AN7" si="10">IF(AB6=$B$9,0,IF(W6&gt;$B$6,0,IF((AB7-AB6)&lt;1,1,AB7-AB6)))</f>
        <v>1</v>
      </c>
      <c r="AO6" s="10">
        <f t="shared" ref="AO6:AO40" si="11">IFERROR(AN6*($B$8-W7),0)</f>
        <v>30</v>
      </c>
      <c r="AP6" s="17">
        <f t="shared" ref="AP6:AP41" si="12">IFERROR($B$80*((24*AL6*AO6)/($B$8-W6))*0.0036,0)</f>
        <v>8.5122232335713104</v>
      </c>
      <c r="AQ6" s="17">
        <f t="shared" ref="AQ6:AQ41" si="13">IFERROR($B$80*((24*AK6*AO6)/($B$8-W6))*0.0036,0)</f>
        <v>4.6703584838802108</v>
      </c>
      <c r="AR6" s="17">
        <f>AP6/3.6</f>
        <v>2.3645064537698084</v>
      </c>
      <c r="AS6" s="17">
        <f>AQ6/3.6</f>
        <v>1.2973218010778362</v>
      </c>
      <c r="AT6" s="45">
        <f t="shared" ref="AT6:AT41" si="14">AE6/1000</f>
        <v>0.32144</v>
      </c>
      <c r="AU6" s="44">
        <f>IFERROR((AR6*1000)/AF6,0)</f>
        <v>19.687248681976588</v>
      </c>
      <c r="AV6">
        <f t="shared" ref="AV6:AV41" si="15">IF(W6&lt;$B$71,1,0)</f>
        <v>1</v>
      </c>
      <c r="AW6" s="76">
        <f>IF(AD6&gt;AF6,AT6,0)</f>
        <v>0</v>
      </c>
    </row>
    <row r="7" spans="1:89" x14ac:dyDescent="0.25">
      <c r="A7" t="s">
        <v>3</v>
      </c>
      <c r="B7" s="36">
        <f>VLOOKUP(Pomery_vykonu!B4,lokality!A6:J77,7,FALSE)</f>
        <v>4.3</v>
      </c>
      <c r="C7" t="s">
        <v>1</v>
      </c>
      <c r="D7" t="s">
        <v>4</v>
      </c>
      <c r="K7" s="14"/>
      <c r="L7" s="14"/>
      <c r="N7" s="10">
        <v>0.5</v>
      </c>
      <c r="O7" s="17">
        <f t="shared" si="0"/>
        <v>-9.6263230577843757</v>
      </c>
      <c r="P7" s="17">
        <f>N7</f>
        <v>0.5</v>
      </c>
      <c r="Q7" s="19">
        <f t="shared" si="1"/>
        <v>3.4444472077483113</v>
      </c>
      <c r="R7" s="11">
        <f t="shared" si="2"/>
        <v>0.92342977605756049</v>
      </c>
      <c r="S7" s="19">
        <f t="shared" si="3"/>
        <v>171.75793834670625</v>
      </c>
      <c r="T7" s="19">
        <f t="shared" si="4"/>
        <v>171.75793834670625</v>
      </c>
      <c r="U7" s="19">
        <f t="shared" si="5"/>
        <v>83.804000000000016</v>
      </c>
      <c r="V7" s="3"/>
      <c r="W7" s="10">
        <f>W6+1</f>
        <v>-11</v>
      </c>
      <c r="X7" s="11">
        <f t="shared" si="6"/>
        <v>0.967741935483871</v>
      </c>
      <c r="Y7" s="19">
        <f t="shared" ref="Y7:Y41" si="16">Z7</f>
        <v>180</v>
      </c>
      <c r="Z7" s="19">
        <f t="shared" ref="Z7:Z41" si="17">X7*$B$20</f>
        <v>180</v>
      </c>
      <c r="AA7" s="17">
        <f t="shared" ref="AA7:AA41" si="18">(($B$23*1000)/365)/24</f>
        <v>13.393333333333333</v>
      </c>
      <c r="AB7" s="10">
        <f t="shared" si="7"/>
        <v>0</v>
      </c>
      <c r="AC7" s="42">
        <f t="shared" ref="AC7:AC41" si="19">AN7</f>
        <v>1</v>
      </c>
      <c r="AD7" s="17">
        <f t="shared" ref="AD7:AD41" si="20">(($B$23*1000)/365)/24</f>
        <v>13.393333333333333</v>
      </c>
      <c r="AE7" s="19">
        <f t="shared" ref="AE7:AE41" si="21">AD7*24*AC7</f>
        <v>321.44</v>
      </c>
      <c r="AF7" s="19">
        <f>IFERROR(VLOOKUP(W7,Vyber_typu!$M$10:$Q$50,2,FALSE),0)</f>
        <v>123.54827586206896</v>
      </c>
      <c r="AG7" s="19">
        <f>IFERROR(VLOOKUP(W7,Vyber_typu!$M$10:$Q$50,3,FALSE),0)</f>
        <v>2.3360000000000003</v>
      </c>
      <c r="AH7" s="17">
        <f t="shared" ref="AH7:AH41" si="22">AG7*AC7</f>
        <v>2.3360000000000003</v>
      </c>
      <c r="AI7" s="17">
        <f>IFERROR(VLOOKUP(W7,Vyber_typu!$M$10:$Q$50,5,FALSE),0)</f>
        <v>1.89</v>
      </c>
      <c r="AJ7" s="17">
        <f t="shared" ref="AJ7:AJ41" si="23">AI7*AC7</f>
        <v>1.89</v>
      </c>
      <c r="AK7" s="19">
        <f>IF(AK6=0,0,IF(Y7-AF7&lt;0,0,Y7-AF7))</f>
        <v>56.451724137931038</v>
      </c>
      <c r="AL7" s="19">
        <f t="shared" si="8"/>
        <v>123.54827586206896</v>
      </c>
      <c r="AM7" s="10">
        <f t="shared" si="9"/>
        <v>-11</v>
      </c>
      <c r="AN7" s="10">
        <f t="shared" si="10"/>
        <v>1</v>
      </c>
      <c r="AO7" s="10">
        <f t="shared" si="11"/>
        <v>29</v>
      </c>
      <c r="AP7" s="17">
        <f t="shared" si="12"/>
        <v>8.7466429695290842</v>
      </c>
      <c r="AQ7" s="17">
        <f t="shared" si="13"/>
        <v>3.9965193573407207</v>
      </c>
      <c r="AR7" s="17">
        <f t="shared" ref="AR7:AR41" si="24">AP7/3.6</f>
        <v>2.4296230470914124</v>
      </c>
      <c r="AS7" s="17">
        <f t="shared" ref="AS7:AS41" si="25">AQ7/3.6</f>
        <v>1.1101442659279779</v>
      </c>
      <c r="AT7" s="45">
        <f t="shared" si="14"/>
        <v>0.32144</v>
      </c>
      <c r="AU7" s="44">
        <f t="shared" ref="AU7:AU41" si="26">IFERROR((AR7*1000)/AF7,0)</f>
        <v>19.665373961218833</v>
      </c>
      <c r="AV7">
        <f t="shared" si="15"/>
        <v>1</v>
      </c>
      <c r="AW7" s="76">
        <f t="shared" ref="AW7:AW41" si="27">IF(AD7&gt;AF7,AT7,0)</f>
        <v>0</v>
      </c>
    </row>
    <row r="8" spans="1:89" x14ac:dyDescent="0.25">
      <c r="A8" t="s">
        <v>7</v>
      </c>
      <c r="B8" s="5">
        <f>Výpočet!E15</f>
        <v>19</v>
      </c>
      <c r="C8" t="s">
        <v>1</v>
      </c>
      <c r="D8" t="s">
        <v>8</v>
      </c>
      <c r="K8" s="14"/>
      <c r="L8" s="14"/>
      <c r="N8" s="10">
        <v>1</v>
      </c>
      <c r="O8" s="17">
        <f t="shared" si="0"/>
        <v>-8.9629395869392177</v>
      </c>
      <c r="P8" s="17">
        <f t="shared" ref="P8:P70" si="28">N8</f>
        <v>1</v>
      </c>
      <c r="Q8" s="19">
        <f t="shared" si="1"/>
        <v>4.0270769265438844</v>
      </c>
      <c r="R8" s="11">
        <f t="shared" si="2"/>
        <v>0.90203030925610372</v>
      </c>
      <c r="S8" s="19">
        <f t="shared" si="3"/>
        <v>167.77763752163528</v>
      </c>
      <c r="T8" s="19">
        <f t="shared" si="4"/>
        <v>167.77763752163528</v>
      </c>
      <c r="U8" s="19">
        <f t="shared" si="5"/>
        <v>83.804000000000016</v>
      </c>
      <c r="V8" s="3"/>
      <c r="W8" s="10">
        <f t="shared" ref="W8:W40" si="29">W7+1</f>
        <v>-10</v>
      </c>
      <c r="X8" s="11">
        <f t="shared" si="6"/>
        <v>0.93548387096774188</v>
      </c>
      <c r="Y8" s="19">
        <f t="shared" si="16"/>
        <v>174</v>
      </c>
      <c r="Z8" s="19">
        <f t="shared" si="17"/>
        <v>174</v>
      </c>
      <c r="AA8" s="17">
        <f t="shared" si="18"/>
        <v>13.393333333333333</v>
      </c>
      <c r="AB8" s="10">
        <f t="shared" si="7"/>
        <v>0</v>
      </c>
      <c r="AC8" s="42">
        <f t="shared" si="19"/>
        <v>1</v>
      </c>
      <c r="AD8" s="17">
        <f t="shared" si="20"/>
        <v>13.393333333333333</v>
      </c>
      <c r="AE8" s="19">
        <f t="shared" si="21"/>
        <v>321.44</v>
      </c>
      <c r="AF8" s="19">
        <f>IFERROR(VLOOKUP(W8,Vyber_typu!$M$10:$Q$50,2,FALSE),0)</f>
        <v>126.99310344827586</v>
      </c>
      <c r="AG8" s="19">
        <f>IFERROR(VLOOKUP(W8,Vyber_typu!$M$10:$Q$50,3,FALSE),0)</f>
        <v>2.3920000000000003</v>
      </c>
      <c r="AH8" s="17">
        <f t="shared" si="22"/>
        <v>2.3920000000000003</v>
      </c>
      <c r="AI8" s="17">
        <f>IFERROR(VLOOKUP(W8,Vyber_typu!$M$10:$Q$50,5,FALSE),0)</f>
        <v>1.93</v>
      </c>
      <c r="AJ8" s="17">
        <f t="shared" si="23"/>
        <v>1.93</v>
      </c>
      <c r="AK8" s="19">
        <f t="shared" ref="AK8:AK41" si="30">IF(AK7=0,0,IF(Y8-AF8&lt;0,0,Y8-AF8))</f>
        <v>47.006896551724139</v>
      </c>
      <c r="AL8" s="19">
        <f t="shared" si="8"/>
        <v>126.99310344827586</v>
      </c>
      <c r="AM8" s="10">
        <f t="shared" si="9"/>
        <v>-10</v>
      </c>
      <c r="AN8" s="10">
        <f>IF(AB8=$B$9,0,IF(W8&gt;$B$6,0,IF((AB9-AB8)&lt;1,1,AB9-AB8)))</f>
        <v>1</v>
      </c>
      <c r="AO8" s="10">
        <f t="shared" si="11"/>
        <v>28</v>
      </c>
      <c r="AP8" s="17">
        <f t="shared" si="12"/>
        <v>8.9798304569484291</v>
      </c>
      <c r="AQ8" s="17">
        <f t="shared" si="13"/>
        <v>3.3239124793396595</v>
      </c>
      <c r="AR8" s="17">
        <f t="shared" si="24"/>
        <v>2.4943973491523415</v>
      </c>
      <c r="AS8" s="17">
        <f t="shared" si="25"/>
        <v>0.92330902203879428</v>
      </c>
      <c r="AT8" s="45">
        <f t="shared" si="14"/>
        <v>0.32144</v>
      </c>
      <c r="AU8" s="44">
        <f t="shared" si="26"/>
        <v>19.641990639029519</v>
      </c>
      <c r="AV8">
        <f t="shared" si="15"/>
        <v>1</v>
      </c>
      <c r="AW8" s="76">
        <f t="shared" si="27"/>
        <v>0</v>
      </c>
    </row>
    <row r="9" spans="1:89" x14ac:dyDescent="0.25">
      <c r="A9" t="s">
        <v>5</v>
      </c>
      <c r="B9" s="36">
        <f>VLOOKUP(Pomery_vykonu!B4,lokality!A6:J77,8,FALSE)</f>
        <v>225</v>
      </c>
      <c r="C9" t="s">
        <v>14</v>
      </c>
      <c r="D9" t="s">
        <v>6</v>
      </c>
      <c r="J9" s="273" t="s">
        <v>260</v>
      </c>
      <c r="K9" s="274"/>
      <c r="L9" s="14"/>
      <c r="N9" s="10">
        <v>1.5</v>
      </c>
      <c r="O9" s="17">
        <f t="shared" si="0"/>
        <v>-8.4971135526957653</v>
      </c>
      <c r="P9" s="17">
        <f t="shared" si="28"/>
        <v>1.5</v>
      </c>
      <c r="Q9" s="19">
        <f t="shared" si="1"/>
        <v>4.9224484035850367</v>
      </c>
      <c r="R9" s="11">
        <f t="shared" si="2"/>
        <v>0.88700366299018596</v>
      </c>
      <c r="S9" s="19">
        <f t="shared" si="3"/>
        <v>164.98268131617459</v>
      </c>
      <c r="T9" s="19">
        <f t="shared" si="4"/>
        <v>164.98268131617459</v>
      </c>
      <c r="U9" s="19">
        <f t="shared" si="5"/>
        <v>83.804000000000016</v>
      </c>
      <c r="V9" s="3"/>
      <c r="W9" s="10">
        <f t="shared" si="29"/>
        <v>-9</v>
      </c>
      <c r="X9" s="11">
        <f t="shared" si="6"/>
        <v>0.90322580645161288</v>
      </c>
      <c r="Y9" s="19">
        <f t="shared" si="16"/>
        <v>168</v>
      </c>
      <c r="Z9" s="19">
        <f t="shared" si="17"/>
        <v>168</v>
      </c>
      <c r="AA9" s="17">
        <f t="shared" si="18"/>
        <v>13.393333333333333</v>
      </c>
      <c r="AB9" s="10">
        <f t="shared" si="7"/>
        <v>0.5</v>
      </c>
      <c r="AC9" s="42">
        <f t="shared" si="19"/>
        <v>1.5</v>
      </c>
      <c r="AD9" s="17">
        <f t="shared" si="20"/>
        <v>13.393333333333333</v>
      </c>
      <c r="AE9" s="19">
        <f t="shared" si="21"/>
        <v>482.15999999999997</v>
      </c>
      <c r="AF9" s="19">
        <f>IFERROR(VLOOKUP(W9,Vyber_typu!$M$10:$Q$50,2,FALSE),0)</f>
        <v>130.43793103448274</v>
      </c>
      <c r="AG9" s="19">
        <f>IFERROR(VLOOKUP(W9,Vyber_typu!$M$10:$Q$50,3,FALSE),0)</f>
        <v>2.4480000000000004</v>
      </c>
      <c r="AH9" s="17">
        <f t="shared" si="22"/>
        <v>3.6720000000000006</v>
      </c>
      <c r="AI9" s="17">
        <f>IFERROR(VLOOKUP(W9,Vyber_typu!$M$10:$Q$50,5,FALSE),0)</f>
        <v>1.97</v>
      </c>
      <c r="AJ9" s="17">
        <f t="shared" si="23"/>
        <v>2.9550000000000001</v>
      </c>
      <c r="AK9" s="19">
        <f t="shared" si="30"/>
        <v>37.562068965517255</v>
      </c>
      <c r="AL9" s="19">
        <f t="shared" si="8"/>
        <v>130.43793103448274</v>
      </c>
      <c r="AM9" s="10">
        <f t="shared" si="9"/>
        <v>-9</v>
      </c>
      <c r="AN9" s="10">
        <f t="shared" ref="AN9:AN41" si="31">IF(AB9=$B$9,0,IF(W9&gt;$B$6,0,IF((AB10-AB9)&lt;1,1,AB10-AB9)))</f>
        <v>1.5</v>
      </c>
      <c r="AO9" s="10">
        <f t="shared" si="11"/>
        <v>40.5</v>
      </c>
      <c r="AP9" s="17">
        <f t="shared" si="12"/>
        <v>13.817480503800335</v>
      </c>
      <c r="AQ9" s="17">
        <f t="shared" si="13"/>
        <v>3.9790048147592221</v>
      </c>
      <c r="AR9" s="17">
        <f t="shared" si="24"/>
        <v>3.8381890288334262</v>
      </c>
      <c r="AS9" s="17">
        <f t="shared" si="25"/>
        <v>1.1052791152108949</v>
      </c>
      <c r="AT9" s="45">
        <f t="shared" si="14"/>
        <v>0.48215999999999998</v>
      </c>
      <c r="AU9" s="44">
        <f t="shared" si="26"/>
        <v>29.425405619311437</v>
      </c>
      <c r="AV9">
        <f t="shared" si="15"/>
        <v>1</v>
      </c>
      <c r="AW9" s="76">
        <f t="shared" si="27"/>
        <v>0</v>
      </c>
    </row>
    <row r="10" spans="1:89" x14ac:dyDescent="0.25">
      <c r="A10" t="s">
        <v>11</v>
      </c>
      <c r="B10" s="6" t="s">
        <v>34</v>
      </c>
      <c r="C10" t="s">
        <v>12</v>
      </c>
      <c r="D10" t="s">
        <v>13</v>
      </c>
      <c r="J10" s="275" t="s">
        <v>347</v>
      </c>
      <c r="K10" s="275"/>
      <c r="L10" s="27" t="s">
        <v>279</v>
      </c>
      <c r="N10" s="10">
        <v>2</v>
      </c>
      <c r="O10" s="17">
        <f t="shared" si="0"/>
        <v>-8.1266280328184415</v>
      </c>
      <c r="P10" s="17">
        <f t="shared" si="28"/>
        <v>2</v>
      </c>
      <c r="Q10" s="19">
        <f t="shared" si="1"/>
        <v>5.9102026410777739</v>
      </c>
      <c r="R10" s="11">
        <f t="shared" si="2"/>
        <v>0.87505251718769161</v>
      </c>
      <c r="S10" s="19">
        <f t="shared" si="3"/>
        <v>162.75976819691064</v>
      </c>
      <c r="T10" s="19">
        <f t="shared" si="4"/>
        <v>162.75976819691064</v>
      </c>
      <c r="U10" s="19">
        <f t="shared" si="5"/>
        <v>83.804000000000016</v>
      </c>
      <c r="V10" s="3"/>
      <c r="W10" s="10">
        <f t="shared" si="29"/>
        <v>-8</v>
      </c>
      <c r="X10" s="11">
        <f t="shared" si="6"/>
        <v>0.87096774193548387</v>
      </c>
      <c r="Y10" s="19">
        <f t="shared" si="16"/>
        <v>162</v>
      </c>
      <c r="Z10" s="19">
        <f t="shared" si="17"/>
        <v>162</v>
      </c>
      <c r="AA10" s="17">
        <f t="shared" si="18"/>
        <v>13.393333333333333</v>
      </c>
      <c r="AB10" s="10">
        <f t="shared" si="7"/>
        <v>2</v>
      </c>
      <c r="AC10" s="42">
        <f t="shared" si="19"/>
        <v>2</v>
      </c>
      <c r="AD10" s="17">
        <f t="shared" si="20"/>
        <v>13.393333333333333</v>
      </c>
      <c r="AE10" s="19">
        <f t="shared" si="21"/>
        <v>642.88</v>
      </c>
      <c r="AF10" s="19">
        <f>IFERROR(VLOOKUP(W10,Vyber_typu!$M$10:$Q$50,2,FALSE),0)</f>
        <v>133.88275862068963</v>
      </c>
      <c r="AG10" s="19">
        <f>IFERROR(VLOOKUP(W10,Vyber_typu!$M$10:$Q$50,3,FALSE),0)</f>
        <v>2.5040000000000004</v>
      </c>
      <c r="AH10" s="17">
        <f t="shared" si="22"/>
        <v>5.0080000000000009</v>
      </c>
      <c r="AI10" s="17">
        <f>IFERROR(VLOOKUP(W10,Vyber_typu!$M$10:$Q$50,5,FALSE),0)</f>
        <v>2.0100000000000002</v>
      </c>
      <c r="AJ10" s="17">
        <f t="shared" si="23"/>
        <v>4.0200000000000005</v>
      </c>
      <c r="AK10" s="19">
        <f t="shared" si="30"/>
        <v>28.117241379310371</v>
      </c>
      <c r="AL10" s="19">
        <f t="shared" si="8"/>
        <v>133.88275862068963</v>
      </c>
      <c r="AM10" s="10">
        <f t="shared" si="9"/>
        <v>-8</v>
      </c>
      <c r="AN10" s="10">
        <f t="shared" si="31"/>
        <v>2</v>
      </c>
      <c r="AO10" s="10">
        <f t="shared" si="11"/>
        <v>52</v>
      </c>
      <c r="AP10" s="17">
        <f t="shared" si="12"/>
        <v>18.883922040309479</v>
      </c>
      <c r="AQ10" s="17">
        <f t="shared" si="13"/>
        <v>3.9658862699398258</v>
      </c>
      <c r="AR10" s="17">
        <f t="shared" si="24"/>
        <v>5.2455339000859658</v>
      </c>
      <c r="AS10" s="17">
        <f t="shared" si="25"/>
        <v>1.1016350749832848</v>
      </c>
      <c r="AT10" s="45">
        <f t="shared" si="14"/>
        <v>0.64288000000000001</v>
      </c>
      <c r="AU10" s="44">
        <f t="shared" si="26"/>
        <v>39.180055401662038</v>
      </c>
      <c r="AV10">
        <f t="shared" si="15"/>
        <v>1</v>
      </c>
      <c r="AW10" s="76">
        <f t="shared" si="27"/>
        <v>0</v>
      </c>
    </row>
    <row r="11" spans="1:89" x14ac:dyDescent="0.25">
      <c r="J11" s="10" t="s">
        <v>73</v>
      </c>
      <c r="K11" s="37">
        <v>6</v>
      </c>
      <c r="L11" s="10"/>
      <c r="N11" s="10">
        <v>2.5</v>
      </c>
      <c r="O11" s="17">
        <f t="shared" si="0"/>
        <v>-7.8142166779313733</v>
      </c>
      <c r="P11" s="17">
        <f t="shared" si="28"/>
        <v>2.5</v>
      </c>
      <c r="Q11" s="19">
        <f t="shared" si="1"/>
        <v>6.9272330192759739</v>
      </c>
      <c r="R11" s="11">
        <f t="shared" si="2"/>
        <v>0.86497473154617333</v>
      </c>
      <c r="S11" s="19">
        <f t="shared" si="3"/>
        <v>160.88530006758825</v>
      </c>
      <c r="T11" s="19">
        <f t="shared" si="4"/>
        <v>160.88530006758825</v>
      </c>
      <c r="U11" s="19">
        <f t="shared" si="5"/>
        <v>83.804000000000016</v>
      </c>
      <c r="V11" s="3"/>
      <c r="W11" s="10">
        <f t="shared" si="29"/>
        <v>-7</v>
      </c>
      <c r="X11" s="11">
        <f t="shared" si="6"/>
        <v>0.83870967741935476</v>
      </c>
      <c r="Y11" s="19">
        <f t="shared" si="16"/>
        <v>155.99999999999997</v>
      </c>
      <c r="Z11" s="19">
        <f t="shared" si="17"/>
        <v>155.99999999999997</v>
      </c>
      <c r="AA11" s="17">
        <f t="shared" si="18"/>
        <v>13.393333333333333</v>
      </c>
      <c r="AB11" s="10">
        <f t="shared" si="7"/>
        <v>4</v>
      </c>
      <c r="AC11" s="42">
        <f t="shared" si="19"/>
        <v>3</v>
      </c>
      <c r="AD11" s="17">
        <f t="shared" si="20"/>
        <v>13.393333333333333</v>
      </c>
      <c r="AE11" s="19">
        <f t="shared" si="21"/>
        <v>964.31999999999994</v>
      </c>
      <c r="AF11" s="19">
        <f>IFERROR(VLOOKUP(W11,Vyber_typu!$M$10:$Q$50,2,FALSE),0)</f>
        <v>137.32758620689651</v>
      </c>
      <c r="AG11" s="19">
        <f>IFERROR(VLOOKUP(W11,Vyber_typu!$M$10:$Q$50,3,FALSE),0)</f>
        <v>2.5600000000000005</v>
      </c>
      <c r="AH11" s="17">
        <f t="shared" si="22"/>
        <v>7.6800000000000015</v>
      </c>
      <c r="AI11" s="17">
        <f>IFERROR(VLOOKUP(W11,Vyber_typu!$M$10:$Q$50,5,FALSE),0)</f>
        <v>2.0500000000000003</v>
      </c>
      <c r="AJ11" s="17">
        <f t="shared" si="23"/>
        <v>6.15</v>
      </c>
      <c r="AK11" s="19">
        <f t="shared" si="30"/>
        <v>18.672413793103459</v>
      </c>
      <c r="AL11" s="19">
        <f t="shared" si="8"/>
        <v>137.32758620689651</v>
      </c>
      <c r="AM11" s="10">
        <f t="shared" si="9"/>
        <v>-7</v>
      </c>
      <c r="AN11" s="10">
        <f t="shared" si="31"/>
        <v>3</v>
      </c>
      <c r="AO11" s="10">
        <f t="shared" si="11"/>
        <v>75</v>
      </c>
      <c r="AP11" s="17">
        <f t="shared" si="12"/>
        <v>29.011732808217658</v>
      </c>
      <c r="AQ11" s="17">
        <f t="shared" si="13"/>
        <v>3.9447214854111428</v>
      </c>
      <c r="AR11" s="17">
        <f t="shared" si="24"/>
        <v>8.0588146689493492</v>
      </c>
      <c r="AS11" s="17">
        <f t="shared" si="25"/>
        <v>1.095755968169762</v>
      </c>
      <c r="AT11" s="45">
        <f t="shared" si="14"/>
        <v>0.96431999999999995</v>
      </c>
      <c r="AU11" s="44">
        <f t="shared" si="26"/>
        <v>58.6831451097379</v>
      </c>
      <c r="AV11">
        <f t="shared" si="15"/>
        <v>1</v>
      </c>
      <c r="AW11" s="76">
        <f t="shared" si="27"/>
        <v>0</v>
      </c>
    </row>
    <row r="12" spans="1:89" x14ac:dyDescent="0.25">
      <c r="A12" t="s">
        <v>21</v>
      </c>
      <c r="B12" s="12">
        <v>1</v>
      </c>
      <c r="C12" t="s">
        <v>22</v>
      </c>
      <c r="D12" t="s">
        <v>23</v>
      </c>
      <c r="J12" s="10" t="s">
        <v>75</v>
      </c>
      <c r="K12" s="37">
        <v>6</v>
      </c>
      <c r="L12" s="10"/>
      <c r="N12" s="10">
        <v>3</v>
      </c>
      <c r="O12" s="17">
        <f t="shared" si="0"/>
        <v>-7.5415459118625492</v>
      </c>
      <c r="P12" s="17">
        <f t="shared" si="28"/>
        <v>3</v>
      </c>
      <c r="Q12" s="19">
        <f t="shared" si="1"/>
        <v>7.9490265532194684</v>
      </c>
      <c r="R12" s="11">
        <f t="shared" si="2"/>
        <v>0.85617890038266287</v>
      </c>
      <c r="S12" s="19">
        <f t="shared" si="3"/>
        <v>159.24927547117528</v>
      </c>
      <c r="T12" s="19">
        <f t="shared" si="4"/>
        <v>159.24927547117528</v>
      </c>
      <c r="U12" s="19">
        <f t="shared" si="5"/>
        <v>83.804000000000016</v>
      </c>
      <c r="V12" s="3"/>
      <c r="W12" s="10">
        <f t="shared" si="29"/>
        <v>-6</v>
      </c>
      <c r="X12" s="11">
        <f t="shared" si="6"/>
        <v>0.80645161290322576</v>
      </c>
      <c r="Y12" s="19">
        <f t="shared" si="16"/>
        <v>150</v>
      </c>
      <c r="Z12" s="19">
        <f t="shared" si="17"/>
        <v>150</v>
      </c>
      <c r="AA12" s="17">
        <f t="shared" si="18"/>
        <v>13.393333333333333</v>
      </c>
      <c r="AB12" s="10">
        <f t="shared" si="7"/>
        <v>7</v>
      </c>
      <c r="AC12" s="42">
        <f t="shared" si="19"/>
        <v>4</v>
      </c>
      <c r="AD12" s="17">
        <f t="shared" si="20"/>
        <v>13.393333333333333</v>
      </c>
      <c r="AE12" s="19">
        <f t="shared" si="21"/>
        <v>1285.76</v>
      </c>
      <c r="AF12" s="19">
        <f>IFERROR(VLOOKUP(W12,Vyber_typu!$M$10:$Q$50,2,FALSE),0)</f>
        <v>139.7413793103448</v>
      </c>
      <c r="AG12" s="19">
        <f>IFERROR(VLOOKUP(W12,Vyber_typu!$M$10:$Q$50,3,FALSE),0)</f>
        <v>2.6277777777777782</v>
      </c>
      <c r="AH12" s="17">
        <f t="shared" si="22"/>
        <v>10.511111111111113</v>
      </c>
      <c r="AI12" s="17">
        <f>IFERROR(VLOOKUP(W12,Vyber_typu!$M$10:$Q$50,5,FALSE),0)</f>
        <v>2.1055555555555556</v>
      </c>
      <c r="AJ12" s="17">
        <f t="shared" si="23"/>
        <v>8.4222222222222225</v>
      </c>
      <c r="AK12" s="19">
        <f t="shared" si="30"/>
        <v>10.258620689655203</v>
      </c>
      <c r="AL12" s="19">
        <f t="shared" si="8"/>
        <v>139.7413793103448</v>
      </c>
      <c r="AM12" s="10">
        <f t="shared" si="9"/>
        <v>-6</v>
      </c>
      <c r="AN12" s="10">
        <f t="shared" si="31"/>
        <v>4</v>
      </c>
      <c r="AO12" s="10">
        <f t="shared" si="11"/>
        <v>96</v>
      </c>
      <c r="AP12" s="17">
        <f t="shared" si="12"/>
        <v>39.299245910784208</v>
      </c>
      <c r="AQ12" s="17">
        <f t="shared" si="13"/>
        <v>2.8850155850606636</v>
      </c>
      <c r="AR12" s="17">
        <f t="shared" si="24"/>
        <v>10.916457197440058</v>
      </c>
      <c r="AS12" s="17">
        <f t="shared" si="25"/>
        <v>0.80139321807240649</v>
      </c>
      <c r="AT12" s="45">
        <f t="shared" si="14"/>
        <v>1.28576</v>
      </c>
      <c r="AU12" s="44">
        <f t="shared" si="26"/>
        <v>78.1190027700831</v>
      </c>
      <c r="AV12">
        <f t="shared" si="15"/>
        <v>1</v>
      </c>
      <c r="AW12" s="76">
        <f t="shared" si="27"/>
        <v>0</v>
      </c>
    </row>
    <row r="13" spans="1:89" x14ac:dyDescent="0.25">
      <c r="A13" t="s">
        <v>24</v>
      </c>
      <c r="B13" s="12">
        <f>B12/(B8-B5)</f>
        <v>3.2258064516129031E-2</v>
      </c>
      <c r="C13" t="s">
        <v>25</v>
      </c>
      <c r="J13" s="10" t="s">
        <v>77</v>
      </c>
      <c r="K13" s="37">
        <v>6</v>
      </c>
      <c r="L13" s="10"/>
      <c r="N13" s="10">
        <v>3.5</v>
      </c>
      <c r="O13" s="17">
        <f t="shared" si="0"/>
        <v>-7.298072842260968</v>
      </c>
      <c r="P13" s="17">
        <f t="shared" si="28"/>
        <v>3.5</v>
      </c>
      <c r="Q13" s="19">
        <f t="shared" si="1"/>
        <v>8.9646502313648568</v>
      </c>
      <c r="R13" s="11">
        <f t="shared" si="2"/>
        <v>0.84832493039551504</v>
      </c>
      <c r="S13" s="19">
        <f t="shared" si="3"/>
        <v>157.78843705356579</v>
      </c>
      <c r="T13" s="19">
        <f t="shared" si="4"/>
        <v>157.78843705356579</v>
      </c>
      <c r="U13" s="19">
        <f t="shared" si="5"/>
        <v>83.804000000000016</v>
      </c>
      <c r="V13" s="3"/>
      <c r="W13" s="10">
        <f t="shared" si="29"/>
        <v>-5</v>
      </c>
      <c r="X13" s="11">
        <f t="shared" si="6"/>
        <v>0.77419354838709675</v>
      </c>
      <c r="Y13" s="19">
        <f t="shared" si="16"/>
        <v>144</v>
      </c>
      <c r="Z13" s="19">
        <f t="shared" si="17"/>
        <v>144</v>
      </c>
      <c r="AA13" s="17">
        <f t="shared" si="18"/>
        <v>13.393333333333333</v>
      </c>
      <c r="AB13" s="10">
        <f t="shared" si="7"/>
        <v>11</v>
      </c>
      <c r="AC13" s="42">
        <f t="shared" si="19"/>
        <v>5.5</v>
      </c>
      <c r="AD13" s="17">
        <f t="shared" si="20"/>
        <v>13.393333333333333</v>
      </c>
      <c r="AE13" s="19">
        <f t="shared" si="21"/>
        <v>1767.92</v>
      </c>
      <c r="AF13" s="19">
        <f>IFERROR(VLOOKUP(W13,Vyber_typu!$M$10:$Q$50,2,FALSE),0)</f>
        <v>142.15517241379308</v>
      </c>
      <c r="AG13" s="19">
        <f>IFERROR(VLOOKUP(W13,Vyber_typu!$M$10:$Q$50,3,FALSE),0)</f>
        <v>2.6955555555555559</v>
      </c>
      <c r="AH13" s="17">
        <f t="shared" si="22"/>
        <v>14.825555555555557</v>
      </c>
      <c r="AI13" s="17">
        <f>IFERROR(VLOOKUP(W13,Vyber_typu!$M$10:$Q$50,5,FALSE),0)</f>
        <v>2.161111111111111</v>
      </c>
      <c r="AJ13" s="17">
        <f t="shared" si="23"/>
        <v>11.886111111111111</v>
      </c>
      <c r="AK13" s="19">
        <f t="shared" si="30"/>
        <v>1.8448275862069181</v>
      </c>
      <c r="AL13" s="19">
        <f t="shared" si="8"/>
        <v>142.15517241379308</v>
      </c>
      <c r="AM13" s="10">
        <f t="shared" si="9"/>
        <v>-5</v>
      </c>
      <c r="AN13" s="10">
        <f t="shared" si="31"/>
        <v>5.5</v>
      </c>
      <c r="AO13" s="10">
        <f t="shared" si="11"/>
        <v>126.5</v>
      </c>
      <c r="AP13" s="17">
        <f t="shared" si="12"/>
        <v>54.87441675422675</v>
      </c>
      <c r="AQ13" s="17">
        <f t="shared" si="13"/>
        <v>0.71213615436050115</v>
      </c>
      <c r="AR13" s="17">
        <f t="shared" si="24"/>
        <v>15.242893542840763</v>
      </c>
      <c r="AS13" s="17">
        <f t="shared" si="25"/>
        <v>0.19781559843347254</v>
      </c>
      <c r="AT13" s="45">
        <f t="shared" si="14"/>
        <v>1.7679200000000002</v>
      </c>
      <c r="AU13" s="44">
        <f t="shared" si="26"/>
        <v>107.22714681440441</v>
      </c>
      <c r="AV13">
        <f t="shared" si="15"/>
        <v>1</v>
      </c>
      <c r="AW13" s="76">
        <f t="shared" si="27"/>
        <v>0</v>
      </c>
    </row>
    <row r="14" spans="1:89" x14ac:dyDescent="0.25">
      <c r="A14" t="s">
        <v>26</v>
      </c>
      <c r="B14" s="7">
        <f>B13*(B8-B5)</f>
        <v>1</v>
      </c>
      <c r="C14" t="s">
        <v>27</v>
      </c>
      <c r="J14" s="10" t="s">
        <v>80</v>
      </c>
      <c r="K14" s="37">
        <v>6</v>
      </c>
      <c r="L14" s="10"/>
      <c r="N14" s="10">
        <v>4</v>
      </c>
      <c r="O14" s="17">
        <f t="shared" si="0"/>
        <v>-7.0771106824406971</v>
      </c>
      <c r="P14" s="17">
        <f t="shared" si="28"/>
        <v>4</v>
      </c>
      <c r="Q14" s="19">
        <f t="shared" si="1"/>
        <v>9.968928509314182</v>
      </c>
      <c r="R14" s="11">
        <f t="shared" si="2"/>
        <v>0.84119711878840953</v>
      </c>
      <c r="S14" s="19">
        <f t="shared" si="3"/>
        <v>156.46266409464417</v>
      </c>
      <c r="T14" s="19">
        <f t="shared" si="4"/>
        <v>156.46266409464417</v>
      </c>
      <c r="U14" s="19">
        <f t="shared" si="5"/>
        <v>83.804000000000016</v>
      </c>
      <c r="V14" s="3"/>
      <c r="W14" s="10">
        <f t="shared" si="29"/>
        <v>-4</v>
      </c>
      <c r="X14" s="11">
        <f t="shared" si="6"/>
        <v>0.74193548387096775</v>
      </c>
      <c r="Y14" s="19">
        <f t="shared" si="16"/>
        <v>138</v>
      </c>
      <c r="Z14" s="19">
        <f t="shared" si="17"/>
        <v>138</v>
      </c>
      <c r="AA14" s="17">
        <f t="shared" si="18"/>
        <v>13.393333333333333</v>
      </c>
      <c r="AB14" s="10">
        <f t="shared" si="7"/>
        <v>16.5</v>
      </c>
      <c r="AC14" s="42">
        <f t="shared" si="19"/>
        <v>7</v>
      </c>
      <c r="AD14" s="17">
        <f t="shared" si="20"/>
        <v>13.393333333333333</v>
      </c>
      <c r="AE14" s="19">
        <f t="shared" si="21"/>
        <v>2250.08</v>
      </c>
      <c r="AF14" s="19">
        <f>IFERROR(VLOOKUP(W14,Vyber_typu!$M$10:$Q$50,2,FALSE),0)</f>
        <v>144.56896551724137</v>
      </c>
      <c r="AG14" s="19">
        <f>IFERROR(VLOOKUP(W14,Vyber_typu!$M$10:$Q$50,3,FALSE),0)</f>
        <v>2.7633333333333336</v>
      </c>
      <c r="AH14" s="17">
        <f t="shared" si="22"/>
        <v>19.343333333333334</v>
      </c>
      <c r="AI14" s="17">
        <f>IFERROR(VLOOKUP(W14,Vyber_typu!$M$10:$Q$50,5,FALSE),0)</f>
        <v>2.2166666666666663</v>
      </c>
      <c r="AJ14" s="17">
        <f t="shared" si="23"/>
        <v>15.516666666666664</v>
      </c>
      <c r="AK14" s="19">
        <f t="shared" si="30"/>
        <v>0</v>
      </c>
      <c r="AL14" s="19">
        <f t="shared" si="8"/>
        <v>138</v>
      </c>
      <c r="AM14" s="10">
        <f t="shared" si="9"/>
        <v>-4</v>
      </c>
      <c r="AN14" s="10">
        <f t="shared" si="31"/>
        <v>7</v>
      </c>
      <c r="AO14" s="10">
        <f t="shared" si="11"/>
        <v>154</v>
      </c>
      <c r="AP14" s="17">
        <f t="shared" si="12"/>
        <v>67.67058614958448</v>
      </c>
      <c r="AQ14" s="17">
        <f t="shared" si="13"/>
        <v>0</v>
      </c>
      <c r="AR14" s="17">
        <f t="shared" si="24"/>
        <v>18.797385041551244</v>
      </c>
      <c r="AS14" s="17">
        <f t="shared" si="25"/>
        <v>0</v>
      </c>
      <c r="AT14" s="45">
        <f t="shared" si="14"/>
        <v>2.2500800000000001</v>
      </c>
      <c r="AU14" s="44">
        <f t="shared" si="26"/>
        <v>130.02365323911417</v>
      </c>
      <c r="AV14">
        <f t="shared" si="15"/>
        <v>0</v>
      </c>
      <c r="AW14" s="76">
        <f t="shared" si="27"/>
        <v>0</v>
      </c>
    </row>
    <row r="15" spans="1:89" x14ac:dyDescent="0.25">
      <c r="A15" t="s">
        <v>28</v>
      </c>
      <c r="B15" s="6">
        <f>B13*(B8-B6)</f>
        <v>0.19354838709677419</v>
      </c>
      <c r="C15" t="s">
        <v>22</v>
      </c>
      <c r="D15" t="s">
        <v>29</v>
      </c>
      <c r="J15" s="10" t="s">
        <v>83</v>
      </c>
      <c r="K15" s="37">
        <v>6</v>
      </c>
      <c r="L15" s="10"/>
      <c r="N15" s="10">
        <v>4.5</v>
      </c>
      <c r="O15" s="17">
        <f t="shared" si="0"/>
        <v>-6.8741209710235758</v>
      </c>
      <c r="P15" s="17">
        <f t="shared" si="28"/>
        <v>4.5</v>
      </c>
      <c r="Q15" s="19">
        <f t="shared" si="1"/>
        <v>10.95941985055596</v>
      </c>
      <c r="R15" s="11">
        <f t="shared" si="2"/>
        <v>0.83464906358140567</v>
      </c>
      <c r="S15" s="19">
        <f t="shared" si="3"/>
        <v>155.24472582614146</v>
      </c>
      <c r="T15" s="19">
        <f t="shared" si="4"/>
        <v>155.24472582614146</v>
      </c>
      <c r="U15" s="19">
        <f t="shared" si="5"/>
        <v>83.804000000000016</v>
      </c>
      <c r="V15" s="3"/>
      <c r="W15" s="10">
        <f t="shared" si="29"/>
        <v>-3</v>
      </c>
      <c r="X15" s="11">
        <f t="shared" si="6"/>
        <v>0.70967741935483875</v>
      </c>
      <c r="Y15" s="19">
        <f t="shared" si="16"/>
        <v>132</v>
      </c>
      <c r="Z15" s="19">
        <f t="shared" si="17"/>
        <v>132</v>
      </c>
      <c r="AA15" s="17">
        <f t="shared" si="18"/>
        <v>13.393333333333333</v>
      </c>
      <c r="AB15" s="10">
        <f t="shared" si="7"/>
        <v>23.5</v>
      </c>
      <c r="AC15" s="42">
        <f t="shared" si="19"/>
        <v>8</v>
      </c>
      <c r="AD15" s="17">
        <f t="shared" si="20"/>
        <v>13.393333333333333</v>
      </c>
      <c r="AE15" s="19">
        <f t="shared" si="21"/>
        <v>2571.52</v>
      </c>
      <c r="AF15" s="19">
        <f>IFERROR(VLOOKUP(W15,Vyber_typu!$M$10:$Q$50,2,FALSE),0)</f>
        <v>146.98275862068965</v>
      </c>
      <c r="AG15" s="19">
        <f>IFERROR(VLOOKUP(W15,Vyber_typu!$M$10:$Q$50,3,FALSE),0)</f>
        <v>2.8311111111111114</v>
      </c>
      <c r="AH15" s="17">
        <f t="shared" si="22"/>
        <v>22.648888888888891</v>
      </c>
      <c r="AI15" s="17">
        <f>IFERROR(VLOOKUP(W15,Vyber_typu!$M$10:$Q$50,5,FALSE),0)</f>
        <v>2.2722222222222217</v>
      </c>
      <c r="AJ15" s="17">
        <f t="shared" si="23"/>
        <v>18.177777777777774</v>
      </c>
      <c r="AK15" s="19">
        <f t="shared" si="30"/>
        <v>0</v>
      </c>
      <c r="AL15" s="19">
        <f t="shared" si="8"/>
        <v>132</v>
      </c>
      <c r="AM15" s="10">
        <f t="shared" si="9"/>
        <v>-3</v>
      </c>
      <c r="AN15" s="10">
        <f t="shared" si="31"/>
        <v>8</v>
      </c>
      <c r="AO15" s="10">
        <f t="shared" si="11"/>
        <v>168</v>
      </c>
      <c r="AP15" s="17">
        <f t="shared" si="12"/>
        <v>73.822457617728531</v>
      </c>
      <c r="AQ15" s="17">
        <f t="shared" si="13"/>
        <v>0</v>
      </c>
      <c r="AR15" s="17">
        <f t="shared" si="24"/>
        <v>20.506238227146813</v>
      </c>
      <c r="AS15" s="17">
        <f t="shared" si="25"/>
        <v>0</v>
      </c>
      <c r="AT15" s="45">
        <f t="shared" si="14"/>
        <v>2.57152</v>
      </c>
      <c r="AU15" s="44">
        <f t="shared" si="26"/>
        <v>139.51458265976717</v>
      </c>
      <c r="AV15">
        <f t="shared" si="15"/>
        <v>0</v>
      </c>
      <c r="AW15" s="76">
        <f t="shared" si="27"/>
        <v>0</v>
      </c>
    </row>
    <row r="16" spans="1:89" x14ac:dyDescent="0.25">
      <c r="A16" t="s">
        <v>30</v>
      </c>
      <c r="B16" s="6"/>
      <c r="J16" s="10"/>
      <c r="K16" s="37"/>
      <c r="L16" s="10"/>
      <c r="N16" s="10">
        <v>5</v>
      </c>
      <c r="O16" s="17">
        <f t="shared" si="0"/>
        <v>-6.6858658524947572</v>
      </c>
      <c r="P16" s="17">
        <f t="shared" si="28"/>
        <v>5</v>
      </c>
      <c r="Q16" s="19">
        <f t="shared" si="1"/>
        <v>11.935079097160191</v>
      </c>
      <c r="R16" s="11">
        <f t="shared" si="2"/>
        <v>0.82857631782241148</v>
      </c>
      <c r="S16" s="19">
        <f t="shared" si="3"/>
        <v>154.11519511496854</v>
      </c>
      <c r="T16" s="19">
        <f t="shared" si="4"/>
        <v>154.11519511496854</v>
      </c>
      <c r="U16" s="19">
        <f t="shared" si="5"/>
        <v>83.804000000000016</v>
      </c>
      <c r="V16" s="3"/>
      <c r="W16" s="10">
        <f t="shared" si="29"/>
        <v>-2</v>
      </c>
      <c r="X16" s="11">
        <f t="shared" si="6"/>
        <v>0.67741935483870963</v>
      </c>
      <c r="Y16" s="19">
        <f t="shared" si="16"/>
        <v>125.99999999999999</v>
      </c>
      <c r="Z16" s="19">
        <f t="shared" si="17"/>
        <v>125.99999999999999</v>
      </c>
      <c r="AA16" s="17">
        <f t="shared" si="18"/>
        <v>13.393333333333333</v>
      </c>
      <c r="AB16" s="10">
        <f t="shared" si="7"/>
        <v>31.5</v>
      </c>
      <c r="AC16" s="42">
        <f t="shared" si="19"/>
        <v>10</v>
      </c>
      <c r="AD16" s="17">
        <f t="shared" si="20"/>
        <v>13.393333333333333</v>
      </c>
      <c r="AE16" s="19">
        <f t="shared" si="21"/>
        <v>3214.4</v>
      </c>
      <c r="AF16" s="19">
        <f>IFERROR(VLOOKUP(W16,Vyber_typu!$M$10:$Q$50,2,FALSE),0)</f>
        <v>149.39655172413791</v>
      </c>
      <c r="AG16" s="19">
        <f>IFERROR(VLOOKUP(W16,Vyber_typu!$M$10:$Q$50,3,FALSE),0)</f>
        <v>2.8988888888888891</v>
      </c>
      <c r="AH16" s="17">
        <f t="shared" si="22"/>
        <v>28.988888888888891</v>
      </c>
      <c r="AI16" s="17">
        <f>IFERROR(VLOOKUP(W16,Vyber_typu!$M$10:$Q$50,5,FALSE),0)</f>
        <v>2.3277777777777771</v>
      </c>
      <c r="AJ16" s="17">
        <f t="shared" si="23"/>
        <v>23.277777777777771</v>
      </c>
      <c r="AK16" s="19">
        <f t="shared" si="30"/>
        <v>0</v>
      </c>
      <c r="AL16" s="19">
        <f t="shared" si="8"/>
        <v>125.99999999999999</v>
      </c>
      <c r="AM16" s="10">
        <f t="shared" si="9"/>
        <v>-2</v>
      </c>
      <c r="AN16" s="10">
        <f t="shared" si="31"/>
        <v>10</v>
      </c>
      <c r="AO16" s="10">
        <f t="shared" si="11"/>
        <v>200</v>
      </c>
      <c r="AP16" s="17">
        <f t="shared" si="12"/>
        <v>87.883878116343467</v>
      </c>
      <c r="AQ16" s="17">
        <f t="shared" si="13"/>
        <v>0</v>
      </c>
      <c r="AR16" s="17">
        <f t="shared" si="24"/>
        <v>24.412188365650962</v>
      </c>
      <c r="AS16" s="17">
        <f t="shared" si="25"/>
        <v>0</v>
      </c>
      <c r="AT16" s="45">
        <f t="shared" si="14"/>
        <v>3.2143999999999999</v>
      </c>
      <c r="AU16" s="44">
        <f t="shared" si="26"/>
        <v>163.40530008167988</v>
      </c>
      <c r="AV16">
        <f t="shared" si="15"/>
        <v>0</v>
      </c>
      <c r="AW16" s="76">
        <f t="shared" si="27"/>
        <v>0</v>
      </c>
    </row>
    <row r="17" spans="1:49" x14ac:dyDescent="0.25">
      <c r="A17" t="s">
        <v>31</v>
      </c>
      <c r="B17" s="6">
        <f>B15</f>
        <v>0.19354838709677419</v>
      </c>
      <c r="C17" t="s">
        <v>33</v>
      </c>
      <c r="J17" s="10" t="s">
        <v>43</v>
      </c>
      <c r="K17" s="37">
        <v>6</v>
      </c>
      <c r="L17" s="10"/>
      <c r="N17" s="10">
        <v>5.5</v>
      </c>
      <c r="O17" s="17">
        <f t="shared" si="0"/>
        <v>-6.5099451409667459</v>
      </c>
      <c r="P17" s="17">
        <f t="shared" si="28"/>
        <v>5.5</v>
      </c>
      <c r="Q17" s="19">
        <f t="shared" si="1"/>
        <v>12.895607660485645</v>
      </c>
      <c r="R17" s="11">
        <f t="shared" si="2"/>
        <v>0.82290145616021759</v>
      </c>
      <c r="S17" s="19">
        <f t="shared" si="3"/>
        <v>153.05967084580047</v>
      </c>
      <c r="T17" s="19">
        <f t="shared" si="4"/>
        <v>153.05967084580047</v>
      </c>
      <c r="U17" s="19">
        <f t="shared" si="5"/>
        <v>83.804000000000016</v>
      </c>
      <c r="V17" s="3"/>
      <c r="W17" s="10">
        <f t="shared" si="29"/>
        <v>-1</v>
      </c>
      <c r="X17" s="11">
        <f t="shared" si="6"/>
        <v>0.64516129032258063</v>
      </c>
      <c r="Y17" s="19">
        <f t="shared" si="16"/>
        <v>120</v>
      </c>
      <c r="Z17" s="19">
        <f t="shared" si="17"/>
        <v>120</v>
      </c>
      <c r="AA17" s="17">
        <f t="shared" si="18"/>
        <v>13.393333333333333</v>
      </c>
      <c r="AB17" s="10">
        <f t="shared" si="7"/>
        <v>41.5</v>
      </c>
      <c r="AC17" s="42">
        <f t="shared" si="19"/>
        <v>11.5</v>
      </c>
      <c r="AD17" s="17">
        <f t="shared" si="20"/>
        <v>13.393333333333333</v>
      </c>
      <c r="AE17" s="19">
        <f t="shared" si="21"/>
        <v>3696.56</v>
      </c>
      <c r="AF17" s="19">
        <f>IFERROR(VLOOKUP(W17,Vyber_typu!$M$10:$Q$50,2,FALSE),0)</f>
        <v>151.81034482758619</v>
      </c>
      <c r="AG17" s="19">
        <f>IFERROR(VLOOKUP(W17,Vyber_typu!$M$10:$Q$50,3,FALSE),0)</f>
        <v>2.9666666666666668</v>
      </c>
      <c r="AH17" s="17">
        <f t="shared" si="22"/>
        <v>34.116666666666667</v>
      </c>
      <c r="AI17" s="17">
        <f>IFERROR(VLOOKUP(W17,Vyber_typu!$M$10:$Q$50,5,FALSE),0)</f>
        <v>2.3833333333333324</v>
      </c>
      <c r="AJ17" s="17">
        <f t="shared" si="23"/>
        <v>27.408333333333324</v>
      </c>
      <c r="AK17" s="19">
        <f t="shared" si="30"/>
        <v>0</v>
      </c>
      <c r="AL17" s="19">
        <f t="shared" si="8"/>
        <v>120</v>
      </c>
      <c r="AM17" s="10">
        <f t="shared" si="9"/>
        <v>-1</v>
      </c>
      <c r="AN17" s="10">
        <f t="shared" si="31"/>
        <v>11.5</v>
      </c>
      <c r="AO17" s="10">
        <f t="shared" si="11"/>
        <v>218.5</v>
      </c>
      <c r="AP17" s="17">
        <f t="shared" si="12"/>
        <v>96.013136842105254</v>
      </c>
      <c r="AQ17" s="17">
        <f t="shared" si="13"/>
        <v>0</v>
      </c>
      <c r="AR17" s="17">
        <f t="shared" si="24"/>
        <v>26.67031578947368</v>
      </c>
      <c r="AS17" s="17">
        <f t="shared" si="25"/>
        <v>0</v>
      </c>
      <c r="AT17" s="45">
        <f t="shared" si="14"/>
        <v>3.6965599999999998</v>
      </c>
      <c r="AU17" s="44">
        <f t="shared" si="26"/>
        <v>175.68180758540302</v>
      </c>
      <c r="AV17">
        <f t="shared" si="15"/>
        <v>0</v>
      </c>
      <c r="AW17" s="76">
        <f t="shared" si="27"/>
        <v>0</v>
      </c>
    </row>
    <row r="18" spans="1:49" x14ac:dyDescent="0.25">
      <c r="A18" t="s">
        <v>32</v>
      </c>
      <c r="B18" s="6">
        <f>B14</f>
        <v>1</v>
      </c>
      <c r="C18" t="s">
        <v>33</v>
      </c>
      <c r="J18" s="10" t="s">
        <v>44</v>
      </c>
      <c r="K18" s="37">
        <v>6</v>
      </c>
      <c r="L18" s="10"/>
      <c r="N18" s="10">
        <v>6</v>
      </c>
      <c r="O18" s="17">
        <f t="shared" si="0"/>
        <v>-6.3445246988209334</v>
      </c>
      <c r="P18" s="17">
        <f t="shared" si="28"/>
        <v>6</v>
      </c>
      <c r="Q18" s="19">
        <f t="shared" si="1"/>
        <v>13.841115763568453</v>
      </c>
      <c r="R18" s="11">
        <f t="shared" si="2"/>
        <v>0.81756531286519141</v>
      </c>
      <c r="S18" s="19">
        <f>R18*$B$20</f>
        <v>152.0671481929256</v>
      </c>
      <c r="T18" s="19">
        <f t="shared" si="4"/>
        <v>152.0671481929256</v>
      </c>
      <c r="U18" s="19">
        <f t="shared" si="5"/>
        <v>83.804000000000016</v>
      </c>
      <c r="V18" s="3"/>
      <c r="W18" s="10">
        <f t="shared" si="29"/>
        <v>0</v>
      </c>
      <c r="X18" s="11">
        <f t="shared" si="6"/>
        <v>0.61290322580645162</v>
      </c>
      <c r="Y18" s="19">
        <f t="shared" si="16"/>
        <v>114</v>
      </c>
      <c r="Z18" s="19">
        <f t="shared" si="17"/>
        <v>114</v>
      </c>
      <c r="AA18" s="17">
        <f t="shared" si="18"/>
        <v>13.393333333333333</v>
      </c>
      <c r="AB18" s="10">
        <f t="shared" si="7"/>
        <v>53</v>
      </c>
      <c r="AC18" s="42">
        <f t="shared" si="19"/>
        <v>12.5</v>
      </c>
      <c r="AD18" s="17">
        <f t="shared" si="20"/>
        <v>13.393333333333333</v>
      </c>
      <c r="AE18" s="19">
        <f t="shared" si="21"/>
        <v>4018</v>
      </c>
      <c r="AF18" s="19">
        <f>IFERROR(VLOOKUP(W18,Vyber_typu!$M$10:$Q$50,2,FALSE),0)</f>
        <v>154.22413793103448</v>
      </c>
      <c r="AG18" s="19">
        <f>IFERROR(VLOOKUP(W18,Vyber_typu!$M$10:$Q$50,3,FALSE),0)</f>
        <v>3.0344444444444445</v>
      </c>
      <c r="AH18" s="17">
        <f t="shared" si="22"/>
        <v>37.930555555555557</v>
      </c>
      <c r="AI18" s="17">
        <f>IFERROR(VLOOKUP(W18,Vyber_typu!$M$10:$Q$50,5,FALSE),0)</f>
        <v>2.4388888888888878</v>
      </c>
      <c r="AJ18" s="17">
        <f t="shared" si="23"/>
        <v>30.486111111111097</v>
      </c>
      <c r="AK18" s="19">
        <f t="shared" si="30"/>
        <v>0</v>
      </c>
      <c r="AL18" s="19">
        <f t="shared" si="8"/>
        <v>114</v>
      </c>
      <c r="AM18" s="10">
        <f t="shared" si="9"/>
        <v>0</v>
      </c>
      <c r="AN18" s="10">
        <f t="shared" si="31"/>
        <v>12.5</v>
      </c>
      <c r="AO18" s="10">
        <f t="shared" si="11"/>
        <v>225</v>
      </c>
      <c r="AP18" s="17">
        <f t="shared" si="12"/>
        <v>98.869362880886428</v>
      </c>
      <c r="AQ18" s="17">
        <f t="shared" si="13"/>
        <v>0</v>
      </c>
      <c r="AR18" s="17">
        <f t="shared" si="24"/>
        <v>27.46371191135734</v>
      </c>
      <c r="AS18" s="17">
        <f t="shared" si="25"/>
        <v>0</v>
      </c>
      <c r="AT18" s="45">
        <f t="shared" si="14"/>
        <v>4.0179999999999998</v>
      </c>
      <c r="AU18" s="44">
        <f t="shared" si="26"/>
        <v>178.07661161081339</v>
      </c>
      <c r="AV18">
        <f t="shared" si="15"/>
        <v>0</v>
      </c>
      <c r="AW18" s="76">
        <f t="shared" si="27"/>
        <v>0</v>
      </c>
    </row>
    <row r="19" spans="1:49" x14ac:dyDescent="0.25">
      <c r="J19" s="10" t="s">
        <v>78</v>
      </c>
      <c r="K19" s="37">
        <v>6</v>
      </c>
      <c r="L19" s="10"/>
      <c r="N19" s="10">
        <v>6.5</v>
      </c>
      <c r="O19" s="17">
        <f t="shared" si="0"/>
        <v>-6.1881678641776183</v>
      </c>
      <c r="P19" s="17">
        <f t="shared" si="28"/>
        <v>6.5</v>
      </c>
      <c r="Q19" s="19">
        <f t="shared" si="1"/>
        <v>14.771937918141901</v>
      </c>
      <c r="R19" s="11">
        <f t="shared" si="2"/>
        <v>0.81252154400572962</v>
      </c>
      <c r="S19" s="19">
        <f t="shared" si="3"/>
        <v>151.12900718506572</v>
      </c>
      <c r="T19" s="19">
        <f t="shared" si="4"/>
        <v>151.12900718506572</v>
      </c>
      <c r="U19" s="19">
        <f t="shared" si="5"/>
        <v>83.804000000000016</v>
      </c>
      <c r="V19" s="3"/>
      <c r="W19" s="10">
        <f t="shared" si="29"/>
        <v>1</v>
      </c>
      <c r="X19" s="11">
        <f t="shared" si="6"/>
        <v>0.58064516129032251</v>
      </c>
      <c r="Y19" s="19">
        <f t="shared" si="16"/>
        <v>107.99999999999999</v>
      </c>
      <c r="Z19" s="19">
        <f t="shared" si="17"/>
        <v>107.99999999999999</v>
      </c>
      <c r="AA19" s="17">
        <f t="shared" si="18"/>
        <v>13.393333333333333</v>
      </c>
      <c r="AB19" s="10">
        <f t="shared" si="7"/>
        <v>65.5</v>
      </c>
      <c r="AC19" s="42">
        <f t="shared" si="19"/>
        <v>13.5</v>
      </c>
      <c r="AD19" s="17">
        <f t="shared" si="20"/>
        <v>13.393333333333333</v>
      </c>
      <c r="AE19" s="19">
        <f t="shared" si="21"/>
        <v>4339.4399999999996</v>
      </c>
      <c r="AF19" s="19">
        <f>IFERROR(VLOOKUP(W19,Vyber_typu!$M$10:$Q$50,2,FALSE),0)</f>
        <v>156.63793103448273</v>
      </c>
      <c r="AG19" s="19">
        <f>IFERROR(VLOOKUP(W19,Vyber_typu!$M$10:$Q$50,3,FALSE),0)</f>
        <v>3.1022222222222222</v>
      </c>
      <c r="AH19" s="17">
        <f t="shared" si="22"/>
        <v>41.88</v>
      </c>
      <c r="AI19" s="17">
        <f>IFERROR(VLOOKUP(W19,Vyber_typu!$M$10:$Q$50,5,FALSE),0)</f>
        <v>2.4944444444444431</v>
      </c>
      <c r="AJ19" s="17">
        <f t="shared" si="23"/>
        <v>33.674999999999983</v>
      </c>
      <c r="AK19" s="19">
        <f t="shared" si="30"/>
        <v>0</v>
      </c>
      <c r="AL19" s="19">
        <f t="shared" si="8"/>
        <v>107.99999999999999</v>
      </c>
      <c r="AM19" s="10">
        <f t="shared" si="9"/>
        <v>1</v>
      </c>
      <c r="AN19" s="10">
        <f t="shared" si="31"/>
        <v>13.5</v>
      </c>
      <c r="AO19" s="10">
        <f t="shared" si="11"/>
        <v>229.5</v>
      </c>
      <c r="AP19" s="17">
        <f t="shared" si="12"/>
        <v>100.84675013850413</v>
      </c>
      <c r="AQ19" s="17">
        <f t="shared" si="13"/>
        <v>0</v>
      </c>
      <c r="AR19" s="17">
        <f t="shared" si="24"/>
        <v>28.012986149584481</v>
      </c>
      <c r="AS19" s="17">
        <f t="shared" si="25"/>
        <v>0</v>
      </c>
      <c r="AT19" s="45">
        <f t="shared" si="14"/>
        <v>4.3394399999999997</v>
      </c>
      <c r="AU19" s="44">
        <f t="shared" si="26"/>
        <v>178.83909704742985</v>
      </c>
      <c r="AV19">
        <f t="shared" si="15"/>
        <v>0</v>
      </c>
      <c r="AW19" s="76">
        <f t="shared" si="27"/>
        <v>0</v>
      </c>
    </row>
    <row r="20" spans="1:49" x14ac:dyDescent="0.25">
      <c r="A20" t="s">
        <v>38</v>
      </c>
      <c r="B20" s="33">
        <f>Výpočet!J39</f>
        <v>186</v>
      </c>
      <c r="C20" t="s">
        <v>35</v>
      </c>
      <c r="D20" s="28" t="s">
        <v>60</v>
      </c>
      <c r="E20" s="28"/>
      <c r="F20" s="28"/>
      <c r="G20" s="28"/>
      <c r="J20" s="10" t="s">
        <v>81</v>
      </c>
      <c r="K20" s="37">
        <v>6</v>
      </c>
      <c r="L20" s="10"/>
      <c r="N20" s="10">
        <v>7</v>
      </c>
      <c r="O20" s="17">
        <f t="shared" si="0"/>
        <v>-6.0397259949857691</v>
      </c>
      <c r="P20" s="17">
        <f t="shared" si="28"/>
        <v>7</v>
      </c>
      <c r="Q20" s="19">
        <f t="shared" si="1"/>
        <v>15.688528379055484</v>
      </c>
      <c r="R20" s="11">
        <f t="shared" si="2"/>
        <v>0.80773309661244419</v>
      </c>
      <c r="S20" s="19">
        <f t="shared" si="3"/>
        <v>150.23835596991461</v>
      </c>
      <c r="T20" s="19">
        <f t="shared" si="4"/>
        <v>150.23835596991461</v>
      </c>
      <c r="U20" s="19">
        <f t="shared" si="5"/>
        <v>83.804000000000016</v>
      </c>
      <c r="V20" s="3"/>
      <c r="W20" s="10">
        <f t="shared" si="29"/>
        <v>2</v>
      </c>
      <c r="X20" s="11">
        <f t="shared" si="6"/>
        <v>0.54838709677419351</v>
      </c>
      <c r="Y20" s="19">
        <f t="shared" si="16"/>
        <v>101.99999999999999</v>
      </c>
      <c r="Z20" s="19">
        <f t="shared" si="17"/>
        <v>101.99999999999999</v>
      </c>
      <c r="AA20" s="17">
        <f t="shared" si="18"/>
        <v>13.393333333333333</v>
      </c>
      <c r="AB20" s="10">
        <f t="shared" si="7"/>
        <v>79</v>
      </c>
      <c r="AC20" s="42">
        <f t="shared" si="19"/>
        <v>14.5</v>
      </c>
      <c r="AD20" s="17">
        <f t="shared" si="20"/>
        <v>13.393333333333333</v>
      </c>
      <c r="AE20" s="19">
        <f t="shared" si="21"/>
        <v>4660.88</v>
      </c>
      <c r="AF20" s="19">
        <f>IFERROR(VLOOKUP(W20,Vyber_typu!$M$10:$Q$50,2,FALSE),0)</f>
        <v>159.05172413793105</v>
      </c>
      <c r="AG20" s="19">
        <f>IFERROR(VLOOKUP(W20,Vyber_typu!$M$10:$Q$50,3,FALSE),0)</f>
        <v>3.1700000000000004</v>
      </c>
      <c r="AH20" s="17">
        <f t="shared" si="22"/>
        <v>45.965000000000003</v>
      </c>
      <c r="AI20" s="17">
        <f>IFERROR(VLOOKUP(W20,Vyber_typu!$M$10:$Q$50,5,FALSE),0)</f>
        <v>2.5500000000000003</v>
      </c>
      <c r="AJ20" s="17">
        <f t="shared" si="23"/>
        <v>36.975000000000001</v>
      </c>
      <c r="AK20" s="19">
        <f t="shared" si="30"/>
        <v>0</v>
      </c>
      <c r="AL20" s="19">
        <f t="shared" si="8"/>
        <v>101.99999999999999</v>
      </c>
      <c r="AM20" s="10">
        <f t="shared" si="9"/>
        <v>2</v>
      </c>
      <c r="AN20" s="10">
        <f t="shared" si="31"/>
        <v>14.5</v>
      </c>
      <c r="AO20" s="10">
        <f t="shared" si="11"/>
        <v>232</v>
      </c>
      <c r="AP20" s="17">
        <f t="shared" si="12"/>
        <v>101.94529861495842</v>
      </c>
      <c r="AQ20" s="17">
        <f t="shared" si="13"/>
        <v>0</v>
      </c>
      <c r="AR20" s="17">
        <f t="shared" si="24"/>
        <v>28.318138504155115</v>
      </c>
      <c r="AS20" s="17">
        <f t="shared" si="25"/>
        <v>0</v>
      </c>
      <c r="AT20" s="45">
        <f t="shared" si="14"/>
        <v>4.6608799999999997</v>
      </c>
      <c r="AU20" s="44">
        <f t="shared" si="26"/>
        <v>178.0435808391324</v>
      </c>
      <c r="AV20">
        <f t="shared" si="15"/>
        <v>0</v>
      </c>
      <c r="AW20" s="76">
        <f t="shared" si="27"/>
        <v>0</v>
      </c>
    </row>
    <row r="21" spans="1:49" x14ac:dyDescent="0.25">
      <c r="A21" t="s">
        <v>262</v>
      </c>
      <c r="B21" s="32">
        <f>Výpočet!J35/1000</f>
        <v>167.60800000000003</v>
      </c>
      <c r="C21" t="s">
        <v>114</v>
      </c>
      <c r="D21" s="276" t="s">
        <v>261</v>
      </c>
      <c r="E21" s="276"/>
      <c r="F21" s="276"/>
      <c r="G21" s="276"/>
      <c r="J21" s="10" t="s">
        <v>84</v>
      </c>
      <c r="K21" s="37">
        <v>6</v>
      </c>
      <c r="L21" s="10"/>
      <c r="N21" s="10">
        <v>7.5</v>
      </c>
      <c r="O21" s="17">
        <f t="shared" si="0"/>
        <v>-5.8982647028246724</v>
      </c>
      <c r="P21" s="17">
        <f t="shared" si="28"/>
        <v>7.5</v>
      </c>
      <c r="Q21" s="19">
        <f t="shared" si="1"/>
        <v>16.591400389215032</v>
      </c>
      <c r="R21" s="11">
        <f t="shared" si="2"/>
        <v>0.80316982912337653</v>
      </c>
      <c r="S21" s="19">
        <f t="shared" si="3"/>
        <v>149.38958821694803</v>
      </c>
      <c r="T21" s="19">
        <f t="shared" si="4"/>
        <v>149.38958821694803</v>
      </c>
      <c r="U21" s="19">
        <f t="shared" si="5"/>
        <v>83.804000000000016</v>
      </c>
      <c r="V21" s="3"/>
      <c r="W21" s="10">
        <f t="shared" si="29"/>
        <v>3</v>
      </c>
      <c r="X21" s="11">
        <f t="shared" si="6"/>
        <v>0.5161290322580645</v>
      </c>
      <c r="Y21" s="19">
        <f t="shared" si="16"/>
        <v>96</v>
      </c>
      <c r="Z21" s="19">
        <f t="shared" si="17"/>
        <v>96</v>
      </c>
      <c r="AA21" s="17">
        <f t="shared" si="18"/>
        <v>13.393333333333333</v>
      </c>
      <c r="AB21" s="10">
        <f t="shared" si="7"/>
        <v>93.5</v>
      </c>
      <c r="AC21" s="42">
        <f t="shared" si="19"/>
        <v>14.5</v>
      </c>
      <c r="AD21" s="17">
        <f t="shared" si="20"/>
        <v>13.393333333333333</v>
      </c>
      <c r="AE21" s="19">
        <f t="shared" si="21"/>
        <v>4660.88</v>
      </c>
      <c r="AF21" s="19">
        <f>IFERROR(VLOOKUP(W21,Vyber_typu!$M$10:$Q$50,2,FALSE),0)</f>
        <v>164.00172413793103</v>
      </c>
      <c r="AG21" s="19">
        <f>IFERROR(VLOOKUP(W21,Vyber_typu!$M$10:$Q$50,3,FALSE),0)</f>
        <v>3.2700000000000005</v>
      </c>
      <c r="AH21" s="17">
        <f t="shared" si="22"/>
        <v>47.415000000000006</v>
      </c>
      <c r="AI21" s="17">
        <f>IFERROR(VLOOKUP(W21,Vyber_typu!$M$10:$Q$50,5,FALSE),0)</f>
        <v>2.6220000000000003</v>
      </c>
      <c r="AJ21" s="17">
        <f t="shared" si="23"/>
        <v>38.019000000000005</v>
      </c>
      <c r="AK21" s="19">
        <f t="shared" si="30"/>
        <v>0</v>
      </c>
      <c r="AL21" s="19">
        <f t="shared" si="8"/>
        <v>96</v>
      </c>
      <c r="AM21" s="10">
        <f t="shared" si="9"/>
        <v>3</v>
      </c>
      <c r="AN21" s="10">
        <f t="shared" si="31"/>
        <v>14.5</v>
      </c>
      <c r="AO21" s="10">
        <f t="shared" si="11"/>
        <v>217.5</v>
      </c>
      <c r="AP21" s="17">
        <f t="shared" si="12"/>
        <v>95.573717451523535</v>
      </c>
      <c r="AQ21" s="17">
        <f t="shared" si="13"/>
        <v>0</v>
      </c>
      <c r="AR21" s="17">
        <f t="shared" si="24"/>
        <v>26.548254847645424</v>
      </c>
      <c r="AS21" s="17">
        <f t="shared" si="25"/>
        <v>0</v>
      </c>
      <c r="AT21" s="45">
        <f t="shared" si="14"/>
        <v>4.6608799999999997</v>
      </c>
      <c r="AU21" s="44">
        <f t="shared" si="26"/>
        <v>161.87790090131881</v>
      </c>
      <c r="AV21">
        <f t="shared" si="15"/>
        <v>0</v>
      </c>
      <c r="AW21" s="76">
        <f t="shared" si="27"/>
        <v>0</v>
      </c>
    </row>
    <row r="22" spans="1:49" x14ac:dyDescent="0.25">
      <c r="A22" t="s">
        <v>263</v>
      </c>
      <c r="B22" s="33">
        <f>Výpočet!J36</f>
        <v>0.7</v>
      </c>
      <c r="C22" t="s">
        <v>265</v>
      </c>
      <c r="D22" s="14"/>
      <c r="E22" s="14"/>
      <c r="F22" s="14"/>
      <c r="G22" s="14"/>
      <c r="H22" s="14"/>
      <c r="J22" s="10"/>
      <c r="K22" s="37"/>
      <c r="L22" s="10"/>
      <c r="N22" s="10">
        <v>8</v>
      </c>
      <c r="O22" s="17">
        <f t="shared" si="0"/>
        <v>-5.7630125629381723</v>
      </c>
      <c r="P22" s="17">
        <f t="shared" si="28"/>
        <v>8</v>
      </c>
      <c r="Q22" s="19">
        <f t="shared" si="1"/>
        <v>17.481090329697572</v>
      </c>
      <c r="R22" s="11">
        <f t="shared" si="2"/>
        <v>0.79880685686897324</v>
      </c>
      <c r="S22" s="19">
        <f t="shared" si="3"/>
        <v>148.57807537762903</v>
      </c>
      <c r="T22" s="19">
        <f t="shared" si="4"/>
        <v>148.57807537762903</v>
      </c>
      <c r="U22" s="19">
        <f t="shared" si="5"/>
        <v>83.804000000000016</v>
      </c>
      <c r="V22" s="3"/>
      <c r="W22" s="10">
        <f t="shared" si="29"/>
        <v>4</v>
      </c>
      <c r="X22" s="11">
        <f t="shared" si="6"/>
        <v>0.4838709677419355</v>
      </c>
      <c r="Y22" s="19">
        <f t="shared" si="16"/>
        <v>90</v>
      </c>
      <c r="Z22" s="19">
        <f t="shared" si="17"/>
        <v>90</v>
      </c>
      <c r="AA22" s="17">
        <f t="shared" si="18"/>
        <v>13.393333333333333</v>
      </c>
      <c r="AB22" s="10">
        <f t="shared" si="7"/>
        <v>108</v>
      </c>
      <c r="AC22" s="42">
        <f t="shared" si="19"/>
        <v>15</v>
      </c>
      <c r="AD22" s="17">
        <f t="shared" si="20"/>
        <v>13.393333333333333</v>
      </c>
      <c r="AE22" s="19">
        <f t="shared" si="21"/>
        <v>4821.6000000000004</v>
      </c>
      <c r="AF22" s="19">
        <f>IFERROR(VLOOKUP(W22,Vyber_typu!$M$10:$Q$50,2,FALSE),0)</f>
        <v>168.95172413793102</v>
      </c>
      <c r="AG22" s="19">
        <f>IFERROR(VLOOKUP(W22,Vyber_typu!$M$10:$Q$50,3,FALSE),0)</f>
        <v>3.3700000000000006</v>
      </c>
      <c r="AH22" s="17">
        <f t="shared" si="22"/>
        <v>50.550000000000011</v>
      </c>
      <c r="AI22" s="17">
        <f>IFERROR(VLOOKUP(W22,Vyber_typu!$M$10:$Q$50,5,FALSE),0)</f>
        <v>2.6940000000000004</v>
      </c>
      <c r="AJ22" s="17">
        <f t="shared" si="23"/>
        <v>40.410000000000004</v>
      </c>
      <c r="AK22" s="19">
        <f t="shared" si="30"/>
        <v>0</v>
      </c>
      <c r="AL22" s="19">
        <f t="shared" si="8"/>
        <v>90</v>
      </c>
      <c r="AM22" s="10">
        <f t="shared" si="9"/>
        <v>4</v>
      </c>
      <c r="AN22" s="10">
        <f t="shared" si="31"/>
        <v>15</v>
      </c>
      <c r="AO22" s="10">
        <f t="shared" si="11"/>
        <v>210</v>
      </c>
      <c r="AP22" s="17">
        <f t="shared" si="12"/>
        <v>92.278072022160657</v>
      </c>
      <c r="AQ22" s="17">
        <f t="shared" si="13"/>
        <v>0</v>
      </c>
      <c r="AR22" s="17">
        <f t="shared" si="24"/>
        <v>25.632797783933515</v>
      </c>
      <c r="AS22" s="17">
        <f t="shared" si="25"/>
        <v>0</v>
      </c>
      <c r="AT22" s="45">
        <f t="shared" si="14"/>
        <v>4.8216000000000001</v>
      </c>
      <c r="AU22" s="44">
        <f t="shared" si="26"/>
        <v>151.71669845172502</v>
      </c>
      <c r="AV22">
        <f t="shared" si="15"/>
        <v>0</v>
      </c>
      <c r="AW22" s="76">
        <f t="shared" si="27"/>
        <v>0</v>
      </c>
    </row>
    <row r="23" spans="1:49" x14ac:dyDescent="0.25">
      <c r="A23" t="s">
        <v>264</v>
      </c>
      <c r="B23" s="39">
        <f>B21*B22</f>
        <v>117.32560000000001</v>
      </c>
      <c r="C23" t="s">
        <v>114</v>
      </c>
      <c r="J23" s="10" t="s">
        <v>74</v>
      </c>
      <c r="K23" s="37">
        <v>6</v>
      </c>
      <c r="L23" s="10"/>
      <c r="N23" s="10">
        <v>8.5</v>
      </c>
      <c r="O23" s="17">
        <f t="shared" si="0"/>
        <v>-5.6333244918067074</v>
      </c>
      <c r="P23" s="17">
        <f t="shared" si="28"/>
        <v>8.5</v>
      </c>
      <c r="Q23" s="19">
        <f t="shared" si="1"/>
        <v>18.358136466764336</v>
      </c>
      <c r="R23" s="11">
        <f t="shared" si="2"/>
        <v>0.79462337070344213</v>
      </c>
      <c r="S23" s="19">
        <f t="shared" si="3"/>
        <v>147.79994695084022</v>
      </c>
      <c r="T23" s="19">
        <f t="shared" si="4"/>
        <v>147.79994695084022</v>
      </c>
      <c r="U23" s="19">
        <f t="shared" si="5"/>
        <v>83.804000000000016</v>
      </c>
      <c r="V23" s="3"/>
      <c r="W23" s="10">
        <f t="shared" si="29"/>
        <v>5</v>
      </c>
      <c r="X23" s="11">
        <f t="shared" si="6"/>
        <v>0.45161290322580644</v>
      </c>
      <c r="Y23" s="19">
        <f t="shared" si="16"/>
        <v>84</v>
      </c>
      <c r="Z23" s="19">
        <f t="shared" si="17"/>
        <v>84</v>
      </c>
      <c r="AA23" s="17">
        <f t="shared" si="18"/>
        <v>13.393333333333333</v>
      </c>
      <c r="AB23" s="10">
        <f t="shared" si="7"/>
        <v>123</v>
      </c>
      <c r="AC23" s="42">
        <f t="shared" si="19"/>
        <v>15</v>
      </c>
      <c r="AD23" s="17">
        <f t="shared" si="20"/>
        <v>13.393333333333333</v>
      </c>
      <c r="AE23" s="19">
        <f t="shared" si="21"/>
        <v>4821.6000000000004</v>
      </c>
      <c r="AF23" s="19">
        <f>IFERROR(VLOOKUP(W23,Vyber_typu!$M$10:$Q$50,2,FALSE),0)</f>
        <v>173.90172413793104</v>
      </c>
      <c r="AG23" s="19">
        <f>IFERROR(VLOOKUP(W23,Vyber_typu!$M$10:$Q$50,3,FALSE),0)</f>
        <v>3.4700000000000006</v>
      </c>
      <c r="AH23" s="17">
        <f t="shared" si="22"/>
        <v>52.050000000000011</v>
      </c>
      <c r="AI23" s="17">
        <f>IFERROR(VLOOKUP(W23,Vyber_typu!$M$10:$Q$50,5,FALSE),0)</f>
        <v>2.7660000000000005</v>
      </c>
      <c r="AJ23" s="17">
        <f t="shared" si="23"/>
        <v>41.490000000000009</v>
      </c>
      <c r="AK23" s="19">
        <f t="shared" si="30"/>
        <v>0</v>
      </c>
      <c r="AL23" s="19">
        <f t="shared" si="8"/>
        <v>84</v>
      </c>
      <c r="AM23" s="10">
        <f t="shared" si="9"/>
        <v>5</v>
      </c>
      <c r="AN23" s="10">
        <f t="shared" si="31"/>
        <v>15</v>
      </c>
      <c r="AO23" s="10">
        <f t="shared" si="11"/>
        <v>195</v>
      </c>
      <c r="AP23" s="17">
        <f t="shared" si="12"/>
        <v>85.686781163434901</v>
      </c>
      <c r="AQ23" s="17">
        <f t="shared" si="13"/>
        <v>0</v>
      </c>
      <c r="AR23" s="17">
        <f t="shared" si="24"/>
        <v>23.801883656509695</v>
      </c>
      <c r="AS23" s="17">
        <f t="shared" si="25"/>
        <v>0</v>
      </c>
      <c r="AT23" s="45">
        <f t="shared" si="14"/>
        <v>4.8216000000000001</v>
      </c>
      <c r="AU23" s="44">
        <f t="shared" si="26"/>
        <v>136.86973935710441</v>
      </c>
      <c r="AV23">
        <f t="shared" si="15"/>
        <v>0</v>
      </c>
      <c r="AW23" s="76">
        <f t="shared" si="27"/>
        <v>0</v>
      </c>
    </row>
    <row r="24" spans="1:49" x14ac:dyDescent="0.25">
      <c r="B24" s="24" t="s">
        <v>62</v>
      </c>
      <c r="H24" s="23" t="s">
        <v>267</v>
      </c>
      <c r="J24" s="10" t="s">
        <v>76</v>
      </c>
      <c r="K24" s="37">
        <v>6</v>
      </c>
      <c r="L24" s="10"/>
      <c r="N24" s="10">
        <v>9</v>
      </c>
      <c r="O24" s="17">
        <f t="shared" si="0"/>
        <v>-5.5086549919512606</v>
      </c>
      <c r="P24" s="17">
        <f t="shared" si="28"/>
        <v>9</v>
      </c>
      <c r="Q24" s="19">
        <f t="shared" si="1"/>
        <v>19.223066456812639</v>
      </c>
      <c r="R24" s="11">
        <f t="shared" si="2"/>
        <v>0.79060177393391162</v>
      </c>
      <c r="S24" s="19">
        <f t="shared" si="3"/>
        <v>147.05192995170756</v>
      </c>
      <c r="T24" s="19">
        <f t="shared" si="4"/>
        <v>147.05192995170756</v>
      </c>
      <c r="U24" s="19">
        <f t="shared" si="5"/>
        <v>83.804000000000016</v>
      </c>
      <c r="V24" s="3"/>
      <c r="W24" s="10">
        <f t="shared" si="29"/>
        <v>6</v>
      </c>
      <c r="X24" s="11">
        <f t="shared" si="6"/>
        <v>0.41935483870967738</v>
      </c>
      <c r="Y24" s="19">
        <f t="shared" si="16"/>
        <v>77.999999999999986</v>
      </c>
      <c r="Z24" s="19">
        <f t="shared" si="17"/>
        <v>77.999999999999986</v>
      </c>
      <c r="AA24" s="17">
        <f t="shared" si="18"/>
        <v>13.393333333333333</v>
      </c>
      <c r="AB24" s="10">
        <f t="shared" si="7"/>
        <v>138</v>
      </c>
      <c r="AC24" s="42">
        <f t="shared" si="19"/>
        <v>14.5</v>
      </c>
      <c r="AD24" s="17">
        <f t="shared" si="20"/>
        <v>13.393333333333333</v>
      </c>
      <c r="AE24" s="19">
        <f t="shared" si="21"/>
        <v>4660.88</v>
      </c>
      <c r="AF24" s="19">
        <f>IFERROR(VLOOKUP(W24,Vyber_typu!$M$10:$Q$50,2,FALSE),0)</f>
        <v>178.85172413793103</v>
      </c>
      <c r="AG24" s="19">
        <f>IFERROR(VLOOKUP(W24,Vyber_typu!$M$10:$Q$50,3,FALSE),0)</f>
        <v>3.5700000000000007</v>
      </c>
      <c r="AH24" s="17">
        <f t="shared" si="22"/>
        <v>51.765000000000008</v>
      </c>
      <c r="AI24" s="17">
        <f>IFERROR(VLOOKUP(W24,Vyber_typu!$M$10:$Q$50,5,FALSE),0)</f>
        <v>2.8380000000000005</v>
      </c>
      <c r="AJ24" s="17">
        <f t="shared" si="23"/>
        <v>41.15100000000001</v>
      </c>
      <c r="AK24" s="19">
        <f t="shared" si="30"/>
        <v>0</v>
      </c>
      <c r="AL24" s="19">
        <f t="shared" si="8"/>
        <v>77.999999999999986</v>
      </c>
      <c r="AM24" s="10">
        <f t="shared" si="9"/>
        <v>6</v>
      </c>
      <c r="AN24" s="10">
        <f t="shared" si="31"/>
        <v>14.5</v>
      </c>
      <c r="AO24" s="10">
        <f t="shared" si="11"/>
        <v>174</v>
      </c>
      <c r="AP24" s="17">
        <f t="shared" si="12"/>
        <v>76.458973961218831</v>
      </c>
      <c r="AQ24" s="17">
        <f t="shared" si="13"/>
        <v>0</v>
      </c>
      <c r="AR24" s="17">
        <f t="shared" si="24"/>
        <v>21.23860387811634</v>
      </c>
      <c r="AS24" s="17">
        <f t="shared" si="25"/>
        <v>0</v>
      </c>
      <c r="AT24" s="45">
        <f t="shared" si="14"/>
        <v>4.6608799999999997</v>
      </c>
      <c r="AU24" s="44">
        <f t="shared" si="26"/>
        <v>118.74978550241461</v>
      </c>
      <c r="AV24">
        <f t="shared" si="15"/>
        <v>0</v>
      </c>
      <c r="AW24" s="76">
        <f t="shared" si="27"/>
        <v>0</v>
      </c>
    </row>
    <row r="25" spans="1:49" x14ac:dyDescent="0.25">
      <c r="B25" s="277" t="s">
        <v>154</v>
      </c>
      <c r="C25" s="278"/>
      <c r="D25" s="279"/>
      <c r="E25" s="271" t="str">
        <f>Výpočet!E19</f>
        <v>Heliotherm S55L-M</v>
      </c>
      <c r="F25" s="271"/>
      <c r="H25" s="31" t="str">
        <f>E25</f>
        <v>Heliotherm S55L-M</v>
      </c>
      <c r="J25" s="10" t="s">
        <v>79</v>
      </c>
      <c r="K25" s="37">
        <v>6</v>
      </c>
      <c r="L25" s="10"/>
      <c r="N25" s="10">
        <v>9.5</v>
      </c>
      <c r="O25" s="17">
        <f t="shared" si="0"/>
        <v>-5.3885382115386697</v>
      </c>
      <c r="P25" s="17">
        <f t="shared" si="28"/>
        <v>9.5</v>
      </c>
      <c r="Q25" s="19">
        <f t="shared" si="1"/>
        <v>20.076390198537098</v>
      </c>
      <c r="R25" s="11">
        <f t="shared" si="2"/>
        <v>0.78672703908189257</v>
      </c>
      <c r="S25" s="19">
        <f t="shared" si="3"/>
        <v>146.33122926923201</v>
      </c>
      <c r="T25" s="19">
        <f t="shared" si="4"/>
        <v>146.33122926923201</v>
      </c>
      <c r="U25" s="19">
        <f t="shared" si="5"/>
        <v>83.804000000000016</v>
      </c>
      <c r="V25" s="3"/>
      <c r="W25" s="10">
        <f t="shared" si="29"/>
        <v>7</v>
      </c>
      <c r="X25" s="11">
        <f t="shared" si="6"/>
        <v>0.38709677419354838</v>
      </c>
      <c r="Y25" s="19">
        <f t="shared" si="16"/>
        <v>72</v>
      </c>
      <c r="Z25" s="19">
        <f t="shared" si="17"/>
        <v>72</v>
      </c>
      <c r="AA25" s="17">
        <f t="shared" si="18"/>
        <v>13.393333333333333</v>
      </c>
      <c r="AB25" s="10">
        <f t="shared" si="7"/>
        <v>152.5</v>
      </c>
      <c r="AC25" s="42">
        <f t="shared" si="19"/>
        <v>14.5</v>
      </c>
      <c r="AD25" s="17">
        <f t="shared" si="20"/>
        <v>13.393333333333333</v>
      </c>
      <c r="AE25" s="19">
        <f t="shared" si="21"/>
        <v>4660.88</v>
      </c>
      <c r="AF25" s="19">
        <f>IFERROR(VLOOKUP(W25,Vyber_typu!$M$10:$Q$50,2,FALSE),0)</f>
        <v>183.80172413793105</v>
      </c>
      <c r="AG25" s="19">
        <f>IFERROR(VLOOKUP(W25,Vyber_typu!$M$10:$Q$50,3,FALSE),0)</f>
        <v>3.6700000000000004</v>
      </c>
      <c r="AH25" s="17">
        <f t="shared" si="22"/>
        <v>53.215000000000003</v>
      </c>
      <c r="AI25" s="17">
        <f>IFERROR(VLOOKUP(W25,Vyber_typu!$M$10:$Q$50,5,FALSE),0)</f>
        <v>2.91</v>
      </c>
      <c r="AJ25" s="17">
        <f t="shared" si="23"/>
        <v>42.195</v>
      </c>
      <c r="AK25" s="19">
        <f t="shared" si="30"/>
        <v>0</v>
      </c>
      <c r="AL25" s="19">
        <f t="shared" si="8"/>
        <v>72</v>
      </c>
      <c r="AM25" s="10">
        <f t="shared" si="9"/>
        <v>7</v>
      </c>
      <c r="AN25" s="10">
        <f t="shared" si="31"/>
        <v>14.5</v>
      </c>
      <c r="AO25" s="10">
        <f t="shared" si="11"/>
        <v>159.5</v>
      </c>
      <c r="AP25" s="17">
        <f t="shared" si="12"/>
        <v>70.087392797783934</v>
      </c>
      <c r="AQ25" s="17">
        <f t="shared" si="13"/>
        <v>0</v>
      </c>
      <c r="AR25" s="17">
        <f t="shared" si="24"/>
        <v>19.468720221606649</v>
      </c>
      <c r="AS25" s="17">
        <f t="shared" si="25"/>
        <v>0</v>
      </c>
      <c r="AT25" s="45">
        <f t="shared" si="14"/>
        <v>4.6608799999999997</v>
      </c>
      <c r="AU25" s="44">
        <f t="shared" si="26"/>
        <v>105.92240259398578</v>
      </c>
      <c r="AV25">
        <f t="shared" si="15"/>
        <v>0</v>
      </c>
      <c r="AW25" s="76">
        <f t="shared" si="27"/>
        <v>0</v>
      </c>
    </row>
    <row r="26" spans="1:49" x14ac:dyDescent="0.25">
      <c r="B26" s="10" t="s">
        <v>155</v>
      </c>
      <c r="C26" s="10"/>
      <c r="D26" s="10"/>
      <c r="E26" s="271">
        <f>Výpočet!S8</f>
        <v>45</v>
      </c>
      <c r="F26" s="271"/>
      <c r="H26" s="41">
        <v>55</v>
      </c>
      <c r="I26" s="40"/>
      <c r="J26" s="10" t="s">
        <v>82</v>
      </c>
      <c r="K26" s="37">
        <v>6</v>
      </c>
      <c r="L26" s="10"/>
      <c r="N26" s="10">
        <v>10</v>
      </c>
      <c r="O26" s="17">
        <f t="shared" si="0"/>
        <v>-5.2725728200191497</v>
      </c>
      <c r="P26" s="17">
        <f t="shared" si="28"/>
        <v>10</v>
      </c>
      <c r="Q26" s="19">
        <f t="shared" si="1"/>
        <v>20.918595988381966</v>
      </c>
      <c r="R26" s="11">
        <f t="shared" si="2"/>
        <v>0.78298622000061768</v>
      </c>
      <c r="S26" s="19">
        <f t="shared" si="3"/>
        <v>145.6354369201149</v>
      </c>
      <c r="T26" s="19">
        <f t="shared" si="4"/>
        <v>145.6354369201149</v>
      </c>
      <c r="U26" s="19">
        <f t="shared" si="5"/>
        <v>83.804000000000016</v>
      </c>
      <c r="V26" s="3"/>
      <c r="W26" s="10">
        <f t="shared" si="29"/>
        <v>8</v>
      </c>
      <c r="X26" s="11">
        <f t="shared" si="6"/>
        <v>0.35483870967741937</v>
      </c>
      <c r="Y26" s="19">
        <f t="shared" si="16"/>
        <v>66</v>
      </c>
      <c r="Z26" s="19">
        <f t="shared" si="17"/>
        <v>66</v>
      </c>
      <c r="AA26" s="17">
        <f t="shared" si="18"/>
        <v>13.393333333333333</v>
      </c>
      <c r="AB26" s="10">
        <f t="shared" si="7"/>
        <v>167</v>
      </c>
      <c r="AC26" s="42">
        <f t="shared" si="19"/>
        <v>13.5</v>
      </c>
      <c r="AD26" s="17">
        <f t="shared" si="20"/>
        <v>13.393333333333333</v>
      </c>
      <c r="AE26" s="19">
        <f t="shared" si="21"/>
        <v>4339.4399999999996</v>
      </c>
      <c r="AF26" s="19">
        <f>IFERROR(VLOOKUP(W26,Vyber_typu!$M$10:$Q$50,2,FALSE),0)</f>
        <v>188.37931034482759</v>
      </c>
      <c r="AG26" s="19">
        <f>IFERROR(VLOOKUP(W26,Vyber_typu!$M$10:$Q$50,3,FALSE),0)</f>
        <v>3.7500000000000004</v>
      </c>
      <c r="AH26" s="17">
        <f t="shared" si="22"/>
        <v>50.625000000000007</v>
      </c>
      <c r="AI26" s="17">
        <f>IFERROR(VLOOKUP(W26,Vyber_typu!$M$10:$Q$50,5,FALSE),0)</f>
        <v>2.9740000000000002</v>
      </c>
      <c r="AJ26" s="17">
        <f t="shared" si="23"/>
        <v>40.149000000000001</v>
      </c>
      <c r="AK26" s="19">
        <f t="shared" si="30"/>
        <v>0</v>
      </c>
      <c r="AL26" s="19">
        <f t="shared" si="8"/>
        <v>66</v>
      </c>
      <c r="AM26" s="10">
        <f t="shared" si="9"/>
        <v>8</v>
      </c>
      <c r="AN26" s="10">
        <f t="shared" si="31"/>
        <v>13.5</v>
      </c>
      <c r="AO26" s="10">
        <f t="shared" si="11"/>
        <v>135</v>
      </c>
      <c r="AP26" s="17">
        <f t="shared" si="12"/>
        <v>59.321617728531862</v>
      </c>
      <c r="AQ26" s="17">
        <f t="shared" si="13"/>
        <v>0</v>
      </c>
      <c r="AR26" s="17">
        <f t="shared" si="24"/>
        <v>16.478227146814405</v>
      </c>
      <c r="AS26" s="17">
        <f t="shared" si="25"/>
        <v>0</v>
      </c>
      <c r="AT26" s="45">
        <f t="shared" si="14"/>
        <v>4.3394399999999997</v>
      </c>
      <c r="AU26" s="44">
        <f t="shared" si="26"/>
        <v>87.473656829144758</v>
      </c>
      <c r="AV26">
        <f t="shared" si="15"/>
        <v>0</v>
      </c>
      <c r="AW26" s="76">
        <f t="shared" si="27"/>
        <v>0</v>
      </c>
    </row>
    <row r="27" spans="1:49" x14ac:dyDescent="0.25">
      <c r="B27" s="27" t="s">
        <v>156</v>
      </c>
      <c r="C27" s="27"/>
      <c r="D27" s="27"/>
      <c r="E27" s="271">
        <f>Výpočet!E20</f>
        <v>3</v>
      </c>
      <c r="F27" s="271"/>
      <c r="G27" s="14"/>
      <c r="H27" s="31">
        <f>E27</f>
        <v>3</v>
      </c>
      <c r="J27" s="10" t="s">
        <v>85</v>
      </c>
      <c r="K27" s="37">
        <v>6</v>
      </c>
      <c r="L27" s="10"/>
      <c r="N27" s="10">
        <v>10.5</v>
      </c>
      <c r="O27" s="17">
        <f t="shared" si="0"/>
        <v>-5.1604103569019948</v>
      </c>
      <c r="P27" s="17">
        <f t="shared" si="28"/>
        <v>10.5</v>
      </c>
      <c r="Q27" s="19">
        <f t="shared" si="1"/>
        <v>21.750148728311899</v>
      </c>
      <c r="R27" s="11">
        <f t="shared" si="2"/>
        <v>0.77936807602909663</v>
      </c>
      <c r="S27" s="19">
        <f t="shared" si="3"/>
        <v>144.96246214141198</v>
      </c>
      <c r="T27" s="19">
        <f t="shared" si="4"/>
        <v>144.96246214141198</v>
      </c>
      <c r="U27" s="19">
        <f t="shared" si="5"/>
        <v>83.804000000000016</v>
      </c>
      <c r="V27" s="3"/>
      <c r="W27" s="10">
        <f t="shared" si="29"/>
        <v>9</v>
      </c>
      <c r="X27" s="11">
        <f t="shared" si="6"/>
        <v>0.32258064516129031</v>
      </c>
      <c r="Y27" s="19">
        <f t="shared" si="16"/>
        <v>60</v>
      </c>
      <c r="Z27" s="19">
        <f t="shared" si="17"/>
        <v>60</v>
      </c>
      <c r="AA27" s="17">
        <f t="shared" si="18"/>
        <v>13.393333333333333</v>
      </c>
      <c r="AB27" s="10">
        <f t="shared" si="7"/>
        <v>180.5</v>
      </c>
      <c r="AC27" s="42">
        <f t="shared" si="19"/>
        <v>12.5</v>
      </c>
      <c r="AD27" s="17">
        <f t="shared" si="20"/>
        <v>13.393333333333333</v>
      </c>
      <c r="AE27" s="19">
        <f t="shared" si="21"/>
        <v>4018</v>
      </c>
      <c r="AF27" s="19">
        <f>IFERROR(VLOOKUP(W27,Vyber_typu!$M$10:$Q$50,2,FALSE),0)</f>
        <v>192.95689655172413</v>
      </c>
      <c r="AG27" s="19">
        <f>IFERROR(VLOOKUP(W27,Vyber_typu!$M$10:$Q$50,3,FALSE),0)</f>
        <v>3.8300000000000005</v>
      </c>
      <c r="AH27" s="17">
        <f t="shared" si="22"/>
        <v>47.875000000000007</v>
      </c>
      <c r="AI27" s="17">
        <f>IFERROR(VLOOKUP(W27,Vyber_typu!$M$10:$Q$50,5,FALSE),0)</f>
        <v>3.0380000000000003</v>
      </c>
      <c r="AJ27" s="17">
        <f t="shared" si="23"/>
        <v>37.975000000000001</v>
      </c>
      <c r="AK27" s="19">
        <f t="shared" si="30"/>
        <v>0</v>
      </c>
      <c r="AL27" s="19">
        <f t="shared" si="8"/>
        <v>60</v>
      </c>
      <c r="AM27" s="10">
        <f t="shared" si="9"/>
        <v>9</v>
      </c>
      <c r="AN27" s="10">
        <f t="shared" si="31"/>
        <v>12.5</v>
      </c>
      <c r="AO27" s="10">
        <f t="shared" si="11"/>
        <v>112.5</v>
      </c>
      <c r="AP27" s="17">
        <f t="shared" si="12"/>
        <v>49.434681440443214</v>
      </c>
      <c r="AQ27" s="17">
        <f t="shared" si="13"/>
        <v>0</v>
      </c>
      <c r="AR27" s="17">
        <f t="shared" si="24"/>
        <v>13.73185595567867</v>
      </c>
      <c r="AS27" s="17">
        <f t="shared" si="25"/>
        <v>0</v>
      </c>
      <c r="AT27" s="45">
        <f t="shared" si="14"/>
        <v>4.0179999999999998</v>
      </c>
      <c r="AU27" s="44">
        <f t="shared" si="26"/>
        <v>71.165406373530161</v>
      </c>
      <c r="AV27">
        <f t="shared" si="15"/>
        <v>0</v>
      </c>
      <c r="AW27" s="76">
        <f t="shared" si="27"/>
        <v>0</v>
      </c>
    </row>
    <row r="28" spans="1:49" x14ac:dyDescent="0.25">
      <c r="N28" s="10">
        <v>11</v>
      </c>
      <c r="O28" s="17">
        <f t="shared" si="0"/>
        <v>-5.0517461307046538</v>
      </c>
      <c r="P28" s="17">
        <f t="shared" si="28"/>
        <v>11</v>
      </c>
      <c r="Q28" s="19">
        <f t="shared" si="1"/>
        <v>22.571489407013289</v>
      </c>
      <c r="R28" s="11">
        <f t="shared" si="2"/>
        <v>0.77586277840982754</v>
      </c>
      <c r="S28" s="19">
        <f t="shared" si="3"/>
        <v>144.31047678422792</v>
      </c>
      <c r="T28" s="19">
        <f t="shared" si="4"/>
        <v>144.31047678422792</v>
      </c>
      <c r="U28" s="19">
        <f t="shared" si="5"/>
        <v>83.804000000000016</v>
      </c>
      <c r="V28" s="3"/>
      <c r="W28" s="10">
        <f t="shared" si="29"/>
        <v>10</v>
      </c>
      <c r="X28" s="11">
        <f t="shared" si="6"/>
        <v>0.29032258064516125</v>
      </c>
      <c r="Y28" s="19">
        <f t="shared" si="16"/>
        <v>53.999999999999993</v>
      </c>
      <c r="Z28" s="19">
        <f t="shared" si="17"/>
        <v>53.999999999999993</v>
      </c>
      <c r="AA28" s="17">
        <f t="shared" si="18"/>
        <v>13.393333333333333</v>
      </c>
      <c r="AB28" s="10">
        <f t="shared" si="7"/>
        <v>193</v>
      </c>
      <c r="AC28" s="42">
        <f t="shared" si="19"/>
        <v>11.5</v>
      </c>
      <c r="AD28" s="17">
        <f t="shared" si="20"/>
        <v>13.393333333333333</v>
      </c>
      <c r="AE28" s="19">
        <f t="shared" si="21"/>
        <v>3696.56</v>
      </c>
      <c r="AF28" s="19">
        <f>IFERROR(VLOOKUP(W28,Vyber_typu!$M$10:$Q$50,2,FALSE),0)</f>
        <v>197.5344827586207</v>
      </c>
      <c r="AG28" s="19">
        <f>IFERROR(VLOOKUP(W28,Vyber_typu!$M$10:$Q$50,3,FALSE),0)</f>
        <v>3.9100000000000006</v>
      </c>
      <c r="AH28" s="17">
        <f t="shared" si="22"/>
        <v>44.965000000000003</v>
      </c>
      <c r="AI28" s="17">
        <f>IFERROR(VLOOKUP(W28,Vyber_typu!$M$10:$Q$50,5,FALSE),0)</f>
        <v>3.1020000000000003</v>
      </c>
      <c r="AJ28" s="17">
        <f t="shared" si="23"/>
        <v>35.673000000000002</v>
      </c>
      <c r="AK28" s="19">
        <f t="shared" si="30"/>
        <v>0</v>
      </c>
      <c r="AL28" s="19">
        <f t="shared" si="8"/>
        <v>53.999999999999993</v>
      </c>
      <c r="AM28" s="10">
        <f t="shared" si="9"/>
        <v>10</v>
      </c>
      <c r="AN28" s="10">
        <f t="shared" si="31"/>
        <v>11.5</v>
      </c>
      <c r="AO28" s="10">
        <f t="shared" si="11"/>
        <v>92</v>
      </c>
      <c r="AP28" s="17">
        <f t="shared" si="12"/>
        <v>40.426583933517996</v>
      </c>
      <c r="AQ28" s="17">
        <f t="shared" si="13"/>
        <v>0</v>
      </c>
      <c r="AR28" s="17">
        <f t="shared" si="24"/>
        <v>11.229606648199443</v>
      </c>
      <c r="AS28" s="17">
        <f t="shared" si="25"/>
        <v>0</v>
      </c>
      <c r="AT28" s="45">
        <f t="shared" si="14"/>
        <v>3.6965599999999998</v>
      </c>
      <c r="AU28" s="44">
        <f t="shared" si="26"/>
        <v>56.848842244528903</v>
      </c>
      <c r="AV28">
        <f t="shared" si="15"/>
        <v>0</v>
      </c>
      <c r="AW28" s="76">
        <f t="shared" si="27"/>
        <v>0</v>
      </c>
    </row>
    <row r="29" spans="1:49" ht="15.75" thickBot="1" x14ac:dyDescent="0.3">
      <c r="N29" s="10">
        <v>11.5</v>
      </c>
      <c r="O29" s="17">
        <f t="shared" si="0"/>
        <v>-4.9463120207656317</v>
      </c>
      <c r="P29" s="17">
        <f t="shared" si="28"/>
        <v>11.5</v>
      </c>
      <c r="Q29" s="19">
        <f t="shared" si="1"/>
        <v>23.383035363013015</v>
      </c>
      <c r="R29" s="11">
        <f t="shared" si="2"/>
        <v>0.77246167808921395</v>
      </c>
      <c r="S29" s="19">
        <f t="shared" si="3"/>
        <v>143.67787212459379</v>
      </c>
      <c r="T29" s="19">
        <f t="shared" si="4"/>
        <v>143.67787212459379</v>
      </c>
      <c r="U29" s="19">
        <f t="shared" si="5"/>
        <v>83.804000000000016</v>
      </c>
      <c r="V29" s="3"/>
      <c r="W29" s="10">
        <f t="shared" si="29"/>
        <v>11</v>
      </c>
      <c r="X29" s="11">
        <f t="shared" si="6"/>
        <v>0.25806451612903225</v>
      </c>
      <c r="Y29" s="19">
        <f t="shared" si="16"/>
        <v>48</v>
      </c>
      <c r="Z29" s="19">
        <f t="shared" si="17"/>
        <v>48</v>
      </c>
      <c r="AA29" s="17">
        <f t="shared" si="18"/>
        <v>13.393333333333333</v>
      </c>
      <c r="AB29" s="10">
        <f t="shared" si="7"/>
        <v>204.5</v>
      </c>
      <c r="AC29" s="42">
        <f t="shared" si="19"/>
        <v>11</v>
      </c>
      <c r="AD29" s="17">
        <f t="shared" si="20"/>
        <v>13.393333333333333</v>
      </c>
      <c r="AE29" s="19">
        <f t="shared" si="21"/>
        <v>3535.84</v>
      </c>
      <c r="AF29" s="19">
        <f>IFERROR(VLOOKUP(W29,Vyber_typu!$M$10:$Q$50,2,FALSE),0)</f>
        <v>202.11206896551727</v>
      </c>
      <c r="AG29" s="19">
        <f>IFERROR(VLOOKUP(W29,Vyber_typu!$M$10:$Q$50,3,FALSE),0)</f>
        <v>3.9900000000000007</v>
      </c>
      <c r="AH29" s="17">
        <f t="shared" si="22"/>
        <v>43.890000000000008</v>
      </c>
      <c r="AI29" s="17">
        <f>IFERROR(VLOOKUP(W29,Vyber_typu!$M$10:$Q$50,5,FALSE),0)</f>
        <v>3.1660000000000004</v>
      </c>
      <c r="AJ29" s="17">
        <f t="shared" si="23"/>
        <v>34.826000000000008</v>
      </c>
      <c r="AK29" s="19">
        <f t="shared" si="30"/>
        <v>0</v>
      </c>
      <c r="AL29" s="19">
        <f t="shared" si="8"/>
        <v>48</v>
      </c>
      <c r="AM29" s="10">
        <f t="shared" si="9"/>
        <v>11</v>
      </c>
      <c r="AN29" s="10">
        <f t="shared" si="31"/>
        <v>11</v>
      </c>
      <c r="AO29" s="10">
        <f t="shared" si="11"/>
        <v>77</v>
      </c>
      <c r="AP29" s="17">
        <f t="shared" si="12"/>
        <v>33.83529307479224</v>
      </c>
      <c r="AQ29" s="17">
        <f t="shared" si="13"/>
        <v>0</v>
      </c>
      <c r="AR29" s="17">
        <f t="shared" si="24"/>
        <v>9.3986925207756222</v>
      </c>
      <c r="AS29" s="17">
        <f t="shared" si="25"/>
        <v>0</v>
      </c>
      <c r="AT29" s="45">
        <f t="shared" si="14"/>
        <v>3.5358400000000003</v>
      </c>
      <c r="AU29" s="44">
        <f t="shared" si="26"/>
        <v>46.502381420770831</v>
      </c>
      <c r="AV29">
        <f t="shared" si="15"/>
        <v>0</v>
      </c>
      <c r="AW29" s="76">
        <f t="shared" si="27"/>
        <v>0</v>
      </c>
    </row>
    <row r="30" spans="1:49" x14ac:dyDescent="0.25">
      <c r="A30" s="126" t="s">
        <v>536</v>
      </c>
      <c r="B30" s="127"/>
      <c r="C30" s="127"/>
      <c r="D30" s="127"/>
      <c r="E30" s="127"/>
      <c r="F30" s="127"/>
      <c r="G30" s="128"/>
      <c r="N30" s="10">
        <v>12</v>
      </c>
      <c r="O30" s="17">
        <f t="shared" si="0"/>
        <v>-4.843870719635003</v>
      </c>
      <c r="P30" s="17">
        <f t="shared" si="28"/>
        <v>12</v>
      </c>
      <c r="Q30" s="19">
        <f t="shared" si="1"/>
        <v>24.18518101649169</v>
      </c>
      <c r="R30" s="11">
        <f t="shared" si="2"/>
        <v>0.76915711998822589</v>
      </c>
      <c r="S30" s="19">
        <f t="shared" si="3"/>
        <v>143.06322431781001</v>
      </c>
      <c r="T30" s="19">
        <f t="shared" si="4"/>
        <v>143.06322431781001</v>
      </c>
      <c r="U30" s="19">
        <f t="shared" si="5"/>
        <v>83.804000000000016</v>
      </c>
      <c r="V30" s="3"/>
      <c r="W30" s="10">
        <f t="shared" si="29"/>
        <v>12</v>
      </c>
      <c r="X30" s="11">
        <f t="shared" si="6"/>
        <v>0.22580645161290322</v>
      </c>
      <c r="Y30" s="19">
        <f t="shared" si="16"/>
        <v>42</v>
      </c>
      <c r="Z30" s="19">
        <f t="shared" si="17"/>
        <v>42</v>
      </c>
      <c r="AA30" s="17">
        <f t="shared" si="18"/>
        <v>13.393333333333333</v>
      </c>
      <c r="AB30" s="10">
        <f t="shared" si="7"/>
        <v>215.5</v>
      </c>
      <c r="AC30" s="42">
        <f t="shared" si="19"/>
        <v>9.5</v>
      </c>
      <c r="AD30" s="17">
        <f t="shared" si="20"/>
        <v>13.393333333333333</v>
      </c>
      <c r="AE30" s="19">
        <f t="shared" si="21"/>
        <v>3053.68</v>
      </c>
      <c r="AF30" s="19">
        <f>IFERROR(VLOOKUP(W30,Vyber_typu!$M$10:$Q$50,2,FALSE),0)</f>
        <v>206.68965517241381</v>
      </c>
      <c r="AG30" s="19">
        <f>IFERROR(VLOOKUP(W30,Vyber_typu!$M$10:$Q$50,3,FALSE),0)</f>
        <v>4.07</v>
      </c>
      <c r="AH30" s="17">
        <f t="shared" si="22"/>
        <v>38.665000000000006</v>
      </c>
      <c r="AI30" s="17">
        <f>IFERROR(VLOOKUP(W30,Vyber_typu!$M$10:$Q$50,5,FALSE),0)</f>
        <v>3.2300000000000004</v>
      </c>
      <c r="AJ30" s="17">
        <f t="shared" si="23"/>
        <v>30.685000000000002</v>
      </c>
      <c r="AK30" s="19">
        <f t="shared" si="30"/>
        <v>0</v>
      </c>
      <c r="AL30" s="19">
        <f t="shared" si="8"/>
        <v>42</v>
      </c>
      <c r="AM30" s="10">
        <f t="shared" si="9"/>
        <v>12</v>
      </c>
      <c r="AN30" s="10">
        <f t="shared" si="31"/>
        <v>9.5</v>
      </c>
      <c r="AO30" s="10">
        <f t="shared" si="11"/>
        <v>57</v>
      </c>
      <c r="AP30" s="17">
        <f t="shared" si="12"/>
        <v>25.046905263157896</v>
      </c>
      <c r="AQ30" s="17">
        <f t="shared" si="13"/>
        <v>0</v>
      </c>
      <c r="AR30" s="17">
        <f t="shared" si="24"/>
        <v>6.9574736842105267</v>
      </c>
      <c r="AS30" s="17">
        <f t="shared" si="25"/>
        <v>0</v>
      </c>
      <c r="AT30" s="45">
        <f t="shared" si="14"/>
        <v>3.0536799999999999</v>
      </c>
      <c r="AU30" s="44">
        <f t="shared" si="26"/>
        <v>33.661450924608822</v>
      </c>
      <c r="AV30">
        <f t="shared" si="15"/>
        <v>0</v>
      </c>
      <c r="AW30" s="76">
        <f t="shared" si="27"/>
        <v>0</v>
      </c>
    </row>
    <row r="31" spans="1:49" x14ac:dyDescent="0.25">
      <c r="A31" s="129" t="s">
        <v>537</v>
      </c>
      <c r="B31" s="56"/>
      <c r="C31" s="56" t="s">
        <v>105</v>
      </c>
      <c r="D31" s="56">
        <f>B9*(B8-B7)</f>
        <v>3307.5</v>
      </c>
      <c r="E31" s="56"/>
      <c r="F31" s="56"/>
      <c r="G31" s="130"/>
      <c r="H31" s="14"/>
      <c r="N31" s="10">
        <v>12.5</v>
      </c>
      <c r="O31" s="17">
        <f t="shared" si="0"/>
        <v>-4.7442110804532582</v>
      </c>
      <c r="P31" s="17">
        <f t="shared" si="28"/>
        <v>12.5</v>
      </c>
      <c r="Q31" s="19">
        <f t="shared" ref="Q31:Q94" si="32" xml:space="preserve"> -0.0232*O31^3 + 0.296*O31^2 + 12.396*O31 + 74.648</f>
        <v>24.978298868987025</v>
      </c>
      <c r="R31" s="11">
        <f t="shared" si="2"/>
        <v>0.76594229291784699</v>
      </c>
      <c r="S31" s="19">
        <f t="shared" si="3"/>
        <v>142.46526648271953</v>
      </c>
      <c r="T31" s="19">
        <f t="shared" si="4"/>
        <v>142.46526648271953</v>
      </c>
      <c r="U31" s="19">
        <f t="shared" si="5"/>
        <v>83.804000000000016</v>
      </c>
      <c r="W31" s="10">
        <f t="shared" si="29"/>
        <v>13</v>
      </c>
      <c r="X31" s="11">
        <f t="shared" si="6"/>
        <v>0.19354838709677419</v>
      </c>
      <c r="Y31" s="19">
        <f t="shared" si="16"/>
        <v>36</v>
      </c>
      <c r="Z31" s="19">
        <f t="shared" si="17"/>
        <v>36</v>
      </c>
      <c r="AA31" s="17">
        <f t="shared" si="18"/>
        <v>13.393333333333333</v>
      </c>
      <c r="AB31" s="10">
        <f t="shared" si="7"/>
        <v>225</v>
      </c>
      <c r="AC31" s="42">
        <f t="shared" si="19"/>
        <v>0</v>
      </c>
      <c r="AD31" s="17">
        <f t="shared" si="20"/>
        <v>13.393333333333333</v>
      </c>
      <c r="AE31" s="19">
        <f t="shared" si="21"/>
        <v>0</v>
      </c>
      <c r="AF31" s="19">
        <f>IFERROR(VLOOKUP(W31,Vyber_typu!$M$10:$Q$50,2,FALSE),0)</f>
        <v>208.99719827586208</v>
      </c>
      <c r="AG31" s="19">
        <f>IFERROR(VLOOKUP(W31,Vyber_typu!$M$10:$Q$50,3,FALSE),0)</f>
        <v>4.2050000000000001</v>
      </c>
      <c r="AH31" s="17">
        <f t="shared" si="22"/>
        <v>0</v>
      </c>
      <c r="AI31" s="17">
        <f>IFERROR(VLOOKUP(W31,Vyber_typu!$M$10:$Q$50,5,FALSE),0)</f>
        <v>3.3075000000000006</v>
      </c>
      <c r="AJ31" s="17">
        <f t="shared" si="23"/>
        <v>0</v>
      </c>
      <c r="AK31" s="19">
        <f t="shared" si="30"/>
        <v>0</v>
      </c>
      <c r="AL31" s="19">
        <f t="shared" si="8"/>
        <v>13.393333333333333</v>
      </c>
      <c r="AM31" s="10">
        <f t="shared" si="9"/>
        <v>13</v>
      </c>
      <c r="AN31" s="10">
        <f t="shared" si="31"/>
        <v>0</v>
      </c>
      <c r="AO31" s="10">
        <f t="shared" si="11"/>
        <v>0</v>
      </c>
      <c r="AP31" s="17">
        <f t="shared" si="12"/>
        <v>0</v>
      </c>
      <c r="AQ31" s="17">
        <f t="shared" si="13"/>
        <v>0</v>
      </c>
      <c r="AR31" s="17">
        <f t="shared" si="24"/>
        <v>0</v>
      </c>
      <c r="AS31" s="17">
        <f t="shared" si="25"/>
        <v>0</v>
      </c>
      <c r="AT31" s="45">
        <f t="shared" si="14"/>
        <v>0</v>
      </c>
      <c r="AU31" s="44">
        <f t="shared" si="26"/>
        <v>0</v>
      </c>
      <c r="AV31">
        <f t="shared" si="15"/>
        <v>0</v>
      </c>
      <c r="AW31" s="76">
        <f t="shared" si="27"/>
        <v>0</v>
      </c>
    </row>
    <row r="32" spans="1:49" x14ac:dyDescent="0.25">
      <c r="A32" s="129" t="s">
        <v>538</v>
      </c>
      <c r="B32" s="131"/>
      <c r="C32" s="56" t="s">
        <v>539</v>
      </c>
      <c r="D32" s="56">
        <v>0.67500000000000004</v>
      </c>
      <c r="E32" s="56" t="s">
        <v>540</v>
      </c>
      <c r="F32" s="56"/>
      <c r="G32" s="130"/>
      <c r="H32" s="14"/>
      <c r="N32" s="10">
        <v>13</v>
      </c>
      <c r="O32" s="17">
        <f t="shared" si="0"/>
        <v>-4.6471443220673727</v>
      </c>
      <c r="P32" s="17">
        <f t="shared" si="28"/>
        <v>13</v>
      </c>
      <c r="Q32" s="19">
        <f t="shared" si="32"/>
        <v>25.762740642031233</v>
      </c>
      <c r="R32" s="11">
        <f t="shared" si="2"/>
        <v>0.76281110716346356</v>
      </c>
      <c r="S32" s="19">
        <f t="shared" si="3"/>
        <v>141.88286593240423</v>
      </c>
      <c r="T32" s="19">
        <f t="shared" si="4"/>
        <v>141.88286593240423</v>
      </c>
      <c r="U32" s="19">
        <f t="shared" si="5"/>
        <v>83.804000000000016</v>
      </c>
      <c r="W32" s="10">
        <f t="shared" si="29"/>
        <v>14</v>
      </c>
      <c r="X32" s="11">
        <f t="shared" si="6"/>
        <v>0</v>
      </c>
      <c r="Y32" s="19">
        <f t="shared" si="16"/>
        <v>0</v>
      </c>
      <c r="Z32" s="19">
        <f t="shared" si="17"/>
        <v>0</v>
      </c>
      <c r="AA32" s="17">
        <f t="shared" si="18"/>
        <v>13.393333333333333</v>
      </c>
      <c r="AB32" s="10">
        <f t="shared" si="7"/>
        <v>0</v>
      </c>
      <c r="AC32" s="42">
        <f t="shared" si="19"/>
        <v>0</v>
      </c>
      <c r="AD32" s="17">
        <f t="shared" si="20"/>
        <v>13.393333333333333</v>
      </c>
      <c r="AE32" s="19">
        <f t="shared" si="21"/>
        <v>0</v>
      </c>
      <c r="AF32" s="19">
        <f>IFERROR(VLOOKUP(W32,Vyber_typu!$M$10:$Q$50,2,FALSE),0)</f>
        <v>211.30474137931034</v>
      </c>
      <c r="AG32" s="19">
        <f>IFERROR(VLOOKUP(W32,Vyber_typu!$M$10:$Q$50,3,FALSE),0)</f>
        <v>4.34</v>
      </c>
      <c r="AH32" s="17">
        <f t="shared" si="22"/>
        <v>0</v>
      </c>
      <c r="AI32" s="17">
        <f>IFERROR(VLOOKUP(W32,Vyber_typu!$M$10:$Q$50,5,FALSE),0)</f>
        <v>3.3850000000000007</v>
      </c>
      <c r="AJ32" s="17">
        <f t="shared" si="23"/>
        <v>0</v>
      </c>
      <c r="AK32" s="19">
        <f t="shared" si="30"/>
        <v>0</v>
      </c>
      <c r="AL32" s="19">
        <f t="shared" si="8"/>
        <v>13.393333333333333</v>
      </c>
      <c r="AM32" s="10">
        <f t="shared" si="9"/>
        <v>14</v>
      </c>
      <c r="AN32" s="10">
        <f t="shared" si="31"/>
        <v>0</v>
      </c>
      <c r="AO32" s="10">
        <f t="shared" si="11"/>
        <v>0</v>
      </c>
      <c r="AP32" s="17">
        <f t="shared" si="12"/>
        <v>0</v>
      </c>
      <c r="AQ32" s="17">
        <f t="shared" si="13"/>
        <v>0</v>
      </c>
      <c r="AR32" s="17">
        <f t="shared" si="24"/>
        <v>0</v>
      </c>
      <c r="AS32" s="17">
        <f t="shared" si="25"/>
        <v>0</v>
      </c>
      <c r="AT32" s="45">
        <f t="shared" si="14"/>
        <v>0</v>
      </c>
      <c r="AU32" s="44">
        <f t="shared" si="26"/>
        <v>0</v>
      </c>
      <c r="AV32">
        <f t="shared" si="15"/>
        <v>0</v>
      </c>
      <c r="AW32" s="76">
        <f t="shared" si="27"/>
        <v>0</v>
      </c>
    </row>
    <row r="33" spans="1:49" x14ac:dyDescent="0.25">
      <c r="A33" s="129"/>
      <c r="B33" s="131"/>
      <c r="C33" s="56" t="s">
        <v>541</v>
      </c>
      <c r="D33" s="56">
        <v>0.95</v>
      </c>
      <c r="E33" s="56"/>
      <c r="F33" s="56"/>
      <c r="G33" s="130"/>
      <c r="H33" s="93"/>
      <c r="N33" s="10">
        <v>13.5</v>
      </c>
      <c r="O33" s="17">
        <f t="shared" si="0"/>
        <v>-4.5525009072436049</v>
      </c>
      <c r="P33" s="17">
        <f t="shared" si="28"/>
        <v>13.5</v>
      </c>
      <c r="Q33" s="19">
        <f t="shared" si="32"/>
        <v>26.538838472194158</v>
      </c>
      <c r="R33" s="11">
        <f t="shared" si="2"/>
        <v>0.75975809378205172</v>
      </c>
      <c r="S33" s="19">
        <f t="shared" si="3"/>
        <v>141.31500544346162</v>
      </c>
      <c r="T33" s="19">
        <f t="shared" si="4"/>
        <v>141.31500544346162</v>
      </c>
      <c r="U33" s="19">
        <f t="shared" si="5"/>
        <v>83.804000000000016</v>
      </c>
      <c r="W33" s="10">
        <f t="shared" si="29"/>
        <v>15</v>
      </c>
      <c r="X33" s="11">
        <f t="shared" si="6"/>
        <v>0</v>
      </c>
      <c r="Y33" s="19">
        <f t="shared" si="16"/>
        <v>0</v>
      </c>
      <c r="Z33" s="19">
        <f t="shared" si="17"/>
        <v>0</v>
      </c>
      <c r="AA33" s="17">
        <f t="shared" si="18"/>
        <v>13.393333333333333</v>
      </c>
      <c r="AB33" s="10">
        <f t="shared" si="7"/>
        <v>0</v>
      </c>
      <c r="AC33" s="42">
        <f t="shared" si="19"/>
        <v>0</v>
      </c>
      <c r="AD33" s="17">
        <f t="shared" si="20"/>
        <v>13.393333333333333</v>
      </c>
      <c r="AE33" s="19">
        <f t="shared" si="21"/>
        <v>0</v>
      </c>
      <c r="AF33" s="19">
        <f>IFERROR(VLOOKUP(W33,Vyber_typu!$M$10:$Q$50,2,FALSE),0)</f>
        <v>213.61228448275861</v>
      </c>
      <c r="AG33" s="19">
        <f>IFERROR(VLOOKUP(W33,Vyber_typu!$M$10:$Q$50,3,FALSE),0)</f>
        <v>4.4749999999999996</v>
      </c>
      <c r="AH33" s="17">
        <f t="shared" si="22"/>
        <v>0</v>
      </c>
      <c r="AI33" s="17">
        <f>IFERROR(VLOOKUP(W33,Vyber_typu!$M$10:$Q$50,5,FALSE),0)</f>
        <v>3.4625000000000008</v>
      </c>
      <c r="AJ33" s="17">
        <f t="shared" si="23"/>
        <v>0</v>
      </c>
      <c r="AK33" s="19">
        <f t="shared" si="30"/>
        <v>0</v>
      </c>
      <c r="AL33" s="19">
        <f t="shared" si="8"/>
        <v>13.393333333333333</v>
      </c>
      <c r="AM33" s="10">
        <f t="shared" si="9"/>
        <v>15</v>
      </c>
      <c r="AN33" s="10">
        <f t="shared" si="31"/>
        <v>0</v>
      </c>
      <c r="AO33" s="10">
        <f t="shared" si="11"/>
        <v>0</v>
      </c>
      <c r="AP33" s="17">
        <f t="shared" si="12"/>
        <v>0</v>
      </c>
      <c r="AQ33" s="17">
        <f t="shared" si="13"/>
        <v>0</v>
      </c>
      <c r="AR33" s="17">
        <f t="shared" si="24"/>
        <v>0</v>
      </c>
      <c r="AS33" s="17">
        <f t="shared" si="25"/>
        <v>0</v>
      </c>
      <c r="AT33" s="45">
        <f t="shared" si="14"/>
        <v>0</v>
      </c>
      <c r="AU33" s="44">
        <f t="shared" si="26"/>
        <v>0</v>
      </c>
      <c r="AV33">
        <f t="shared" si="15"/>
        <v>0</v>
      </c>
      <c r="AW33" s="76">
        <f t="shared" si="27"/>
        <v>0</v>
      </c>
    </row>
    <row r="34" spans="1:49" x14ac:dyDescent="0.25">
      <c r="A34" s="129"/>
      <c r="B34" s="131"/>
      <c r="C34" s="56" t="s">
        <v>97</v>
      </c>
      <c r="D34" s="56">
        <v>0.95</v>
      </c>
      <c r="E34" s="56"/>
      <c r="F34" s="56" t="s">
        <v>542</v>
      </c>
      <c r="G34" s="130">
        <f>D32/(D33*D34)</f>
        <v>0.74792243767313027</v>
      </c>
      <c r="H34" s="93"/>
      <c r="N34" s="10">
        <v>14</v>
      </c>
      <c r="O34" s="17">
        <f t="shared" si="0"/>
        <v>-4.4601279543807237</v>
      </c>
      <c r="P34" s="17">
        <f t="shared" si="28"/>
        <v>14</v>
      </c>
      <c r="Q34" s="19">
        <f t="shared" si="32"/>
        <v>27.306906110263768</v>
      </c>
      <c r="R34" s="11">
        <f t="shared" si="2"/>
        <v>0.75677832110905563</v>
      </c>
      <c r="S34" s="19">
        <f t="shared" si="3"/>
        <v>140.76076772628434</v>
      </c>
      <c r="T34" s="19">
        <f t="shared" si="4"/>
        <v>140.76076772628434</v>
      </c>
      <c r="U34" s="19">
        <f t="shared" si="5"/>
        <v>83.804000000000016</v>
      </c>
      <c r="W34" s="10">
        <f t="shared" si="29"/>
        <v>16</v>
      </c>
      <c r="X34" s="11">
        <f t="shared" si="6"/>
        <v>0</v>
      </c>
      <c r="Y34" s="19">
        <f t="shared" si="16"/>
        <v>0</v>
      </c>
      <c r="Z34" s="19">
        <f t="shared" si="17"/>
        <v>0</v>
      </c>
      <c r="AA34" s="17">
        <f t="shared" si="18"/>
        <v>13.393333333333333</v>
      </c>
      <c r="AB34" s="10">
        <f t="shared" si="7"/>
        <v>0</v>
      </c>
      <c r="AC34" s="42">
        <f t="shared" si="19"/>
        <v>0</v>
      </c>
      <c r="AD34" s="17">
        <f t="shared" si="20"/>
        <v>13.393333333333333</v>
      </c>
      <c r="AE34" s="19">
        <f t="shared" si="21"/>
        <v>0</v>
      </c>
      <c r="AF34" s="19">
        <f>IFERROR(VLOOKUP(W34,Vyber_typu!$M$10:$Q$50,2,FALSE),0)</f>
        <v>215.91982758620688</v>
      </c>
      <c r="AG34" s="19">
        <f>IFERROR(VLOOKUP(W34,Vyber_typu!$M$10:$Q$50,3,FALSE),0)</f>
        <v>4.6099999999999994</v>
      </c>
      <c r="AH34" s="17">
        <f t="shared" si="22"/>
        <v>0</v>
      </c>
      <c r="AI34" s="17">
        <f>IFERROR(VLOOKUP(W34,Vyber_typu!$M$10:$Q$50,5,FALSE),0)</f>
        <v>3.5400000000000009</v>
      </c>
      <c r="AJ34" s="17">
        <f t="shared" si="23"/>
        <v>0</v>
      </c>
      <c r="AK34" s="19">
        <f t="shared" si="30"/>
        <v>0</v>
      </c>
      <c r="AL34" s="19">
        <f t="shared" si="8"/>
        <v>13.393333333333333</v>
      </c>
      <c r="AM34" s="10">
        <f t="shared" si="9"/>
        <v>16</v>
      </c>
      <c r="AN34" s="10">
        <f t="shared" si="31"/>
        <v>0</v>
      </c>
      <c r="AO34" s="10">
        <f t="shared" si="11"/>
        <v>0</v>
      </c>
      <c r="AP34" s="17">
        <f t="shared" si="12"/>
        <v>0</v>
      </c>
      <c r="AQ34" s="17">
        <f t="shared" si="13"/>
        <v>0</v>
      </c>
      <c r="AR34" s="17">
        <f t="shared" si="24"/>
        <v>0</v>
      </c>
      <c r="AS34" s="17">
        <f t="shared" si="25"/>
        <v>0</v>
      </c>
      <c r="AT34" s="45">
        <f t="shared" si="14"/>
        <v>0</v>
      </c>
      <c r="AU34" s="44">
        <f t="shared" si="26"/>
        <v>0</v>
      </c>
      <c r="AV34">
        <f t="shared" si="15"/>
        <v>0</v>
      </c>
      <c r="AW34" s="76">
        <f t="shared" si="27"/>
        <v>0</v>
      </c>
    </row>
    <row r="35" spans="1:49" x14ac:dyDescent="0.25">
      <c r="A35" s="129"/>
      <c r="B35" s="131"/>
      <c r="C35" s="56"/>
      <c r="D35" s="56"/>
      <c r="E35" s="56"/>
      <c r="F35" s="56"/>
      <c r="G35" s="130"/>
      <c r="H35" s="93"/>
      <c r="N35" s="10">
        <v>14.5</v>
      </c>
      <c r="O35" s="17">
        <f t="shared" si="0"/>
        <v>-4.3698870759802624</v>
      </c>
      <c r="P35" s="17">
        <f t="shared" si="28"/>
        <v>14.5</v>
      </c>
      <c r="Q35" s="19">
        <f t="shared" si="32"/>
        <v>28.067240092135251</v>
      </c>
      <c r="R35" s="11">
        <f t="shared" si="2"/>
        <v>0.75386732503162135</v>
      </c>
      <c r="S35" s="19">
        <f t="shared" si="3"/>
        <v>140.21932245588158</v>
      </c>
      <c r="T35" s="19">
        <f t="shared" si="4"/>
        <v>140.21932245588158</v>
      </c>
      <c r="U35" s="19">
        <f t="shared" si="5"/>
        <v>83.804000000000016</v>
      </c>
      <c r="W35" s="10">
        <f t="shared" si="29"/>
        <v>17</v>
      </c>
      <c r="X35" s="11">
        <f t="shared" si="6"/>
        <v>0</v>
      </c>
      <c r="Y35" s="19">
        <f t="shared" si="16"/>
        <v>0</v>
      </c>
      <c r="Z35" s="19">
        <f t="shared" si="17"/>
        <v>0</v>
      </c>
      <c r="AA35" s="17">
        <f t="shared" si="18"/>
        <v>13.393333333333333</v>
      </c>
      <c r="AB35" s="10">
        <f t="shared" si="7"/>
        <v>0</v>
      </c>
      <c r="AC35" s="42">
        <f t="shared" si="19"/>
        <v>0</v>
      </c>
      <c r="AD35" s="17">
        <f t="shared" si="20"/>
        <v>13.393333333333333</v>
      </c>
      <c r="AE35" s="19">
        <f t="shared" si="21"/>
        <v>0</v>
      </c>
      <c r="AF35" s="19">
        <f>IFERROR(VLOOKUP(W35,Vyber_typu!$M$10:$Q$50,2,FALSE),0)</f>
        <v>218.22737068965515</v>
      </c>
      <c r="AG35" s="19">
        <f>IFERROR(VLOOKUP(W35,Vyber_typu!$M$10:$Q$50,3,FALSE),0)</f>
        <v>4.7449999999999992</v>
      </c>
      <c r="AH35" s="17">
        <f t="shared" si="22"/>
        <v>0</v>
      </c>
      <c r="AI35" s="17">
        <f>IFERROR(VLOOKUP(W35,Vyber_typu!$M$10:$Q$50,5,FALSE),0)</f>
        <v>3.617500000000001</v>
      </c>
      <c r="AJ35" s="17">
        <f t="shared" si="23"/>
        <v>0</v>
      </c>
      <c r="AK35" s="19">
        <f t="shared" si="30"/>
        <v>0</v>
      </c>
      <c r="AL35" s="19">
        <f t="shared" si="8"/>
        <v>13.393333333333333</v>
      </c>
      <c r="AM35" s="10">
        <f t="shared" si="9"/>
        <v>17</v>
      </c>
      <c r="AN35" s="10">
        <f t="shared" si="31"/>
        <v>0</v>
      </c>
      <c r="AO35" s="10">
        <f t="shared" si="11"/>
        <v>0</v>
      </c>
      <c r="AP35" s="17">
        <f t="shared" si="12"/>
        <v>0</v>
      </c>
      <c r="AQ35" s="17">
        <f t="shared" si="13"/>
        <v>0</v>
      </c>
      <c r="AR35" s="17">
        <f t="shared" si="24"/>
        <v>0</v>
      </c>
      <c r="AS35" s="17">
        <f t="shared" si="25"/>
        <v>0</v>
      </c>
      <c r="AT35" s="45">
        <f t="shared" si="14"/>
        <v>0</v>
      </c>
      <c r="AU35" s="44">
        <f t="shared" si="26"/>
        <v>0</v>
      </c>
      <c r="AV35">
        <f t="shared" si="15"/>
        <v>0</v>
      </c>
      <c r="AW35" s="76">
        <f t="shared" si="27"/>
        <v>0</v>
      </c>
    </row>
    <row r="36" spans="1:49" x14ac:dyDescent="0.25">
      <c r="A36" s="132" t="s">
        <v>544</v>
      </c>
      <c r="B36" s="131"/>
      <c r="C36" s="56" t="s">
        <v>543</v>
      </c>
      <c r="D36" s="136">
        <f>Výpočet!J17*Výpočet!J18</f>
        <v>382.5</v>
      </c>
      <c r="E36" s="56" t="s">
        <v>114</v>
      </c>
      <c r="F36" s="56"/>
      <c r="G36" s="130"/>
      <c r="H36" s="93"/>
      <c r="N36" s="10">
        <v>15</v>
      </c>
      <c r="O36" s="17">
        <f t="shared" si="0"/>
        <v>-4.2816525613955392</v>
      </c>
      <c r="P36" s="17">
        <f t="shared" si="28"/>
        <v>15</v>
      </c>
      <c r="Q36" s="19">
        <f t="shared" si="32"/>
        <v>28.820120862025526</v>
      </c>
      <c r="R36" s="11">
        <f t="shared" si="2"/>
        <v>0.75102105036759803</v>
      </c>
      <c r="S36" s="19">
        <f t="shared" si="3"/>
        <v>139.68991536837322</v>
      </c>
      <c r="T36" s="19">
        <f t="shared" si="4"/>
        <v>139.68991536837322</v>
      </c>
      <c r="U36" s="19">
        <f t="shared" si="5"/>
        <v>83.804000000000016</v>
      </c>
      <c r="W36" s="10">
        <f t="shared" si="29"/>
        <v>18</v>
      </c>
      <c r="X36" s="11">
        <f t="shared" si="6"/>
        <v>0</v>
      </c>
      <c r="Y36" s="19">
        <f t="shared" si="16"/>
        <v>0</v>
      </c>
      <c r="Z36" s="19">
        <f t="shared" si="17"/>
        <v>0</v>
      </c>
      <c r="AA36" s="17">
        <f t="shared" si="18"/>
        <v>13.393333333333333</v>
      </c>
      <c r="AB36" s="10">
        <f t="shared" si="7"/>
        <v>0</v>
      </c>
      <c r="AC36" s="42">
        <f t="shared" si="19"/>
        <v>0</v>
      </c>
      <c r="AD36" s="17">
        <f t="shared" si="20"/>
        <v>13.393333333333333</v>
      </c>
      <c r="AE36" s="19">
        <f t="shared" si="21"/>
        <v>0</v>
      </c>
      <c r="AF36" s="19">
        <f>IFERROR(VLOOKUP(W36,Vyber_typu!$M$10:$Q$50,2,FALSE),0)</f>
        <v>220.53491379310341</v>
      </c>
      <c r="AG36" s="19">
        <f>IFERROR(VLOOKUP(W36,Vyber_typu!$M$10:$Q$50,3,FALSE),0)</f>
        <v>4.879999999999999</v>
      </c>
      <c r="AH36" s="17">
        <f t="shared" si="22"/>
        <v>0</v>
      </c>
      <c r="AI36" s="17">
        <f>IFERROR(VLOOKUP(W36,Vyber_typu!$M$10:$Q$50,5,FALSE),0)</f>
        <v>3.6950000000000012</v>
      </c>
      <c r="AJ36" s="17">
        <f t="shared" si="23"/>
        <v>0</v>
      </c>
      <c r="AK36" s="19">
        <f t="shared" si="30"/>
        <v>0</v>
      </c>
      <c r="AL36" s="19">
        <f t="shared" si="8"/>
        <v>13.393333333333333</v>
      </c>
      <c r="AM36" s="10">
        <f t="shared" si="9"/>
        <v>18</v>
      </c>
      <c r="AN36" s="10">
        <f t="shared" si="31"/>
        <v>0</v>
      </c>
      <c r="AO36" s="10">
        <f t="shared" si="11"/>
        <v>0</v>
      </c>
      <c r="AP36" s="17">
        <f t="shared" si="12"/>
        <v>0</v>
      </c>
      <c r="AQ36" s="17">
        <f t="shared" si="13"/>
        <v>0</v>
      </c>
      <c r="AR36" s="17">
        <f t="shared" si="24"/>
        <v>0</v>
      </c>
      <c r="AS36" s="17">
        <f t="shared" si="25"/>
        <v>0</v>
      </c>
      <c r="AT36" s="45">
        <f t="shared" si="14"/>
        <v>0</v>
      </c>
      <c r="AU36" s="44">
        <f t="shared" si="26"/>
        <v>0</v>
      </c>
      <c r="AV36">
        <f t="shared" si="15"/>
        <v>0</v>
      </c>
      <c r="AW36" s="76">
        <f t="shared" si="27"/>
        <v>0</v>
      </c>
    </row>
    <row r="37" spans="1:49" ht="15.75" thickBot="1" x14ac:dyDescent="0.3">
      <c r="A37" s="133" t="s">
        <v>458</v>
      </c>
      <c r="B37" s="134"/>
      <c r="C37" s="134" t="s">
        <v>545</v>
      </c>
      <c r="D37" s="134">
        <f>(D36*(B8-B5))/(G34*0.001*24*D31)</f>
        <v>199.72180230116734</v>
      </c>
      <c r="E37" s="134" t="s">
        <v>35</v>
      </c>
      <c r="F37" s="134"/>
      <c r="G37" s="135"/>
      <c r="H37" s="93"/>
      <c r="N37" s="10">
        <v>15.5</v>
      </c>
      <c r="O37" s="17">
        <f t="shared" si="0"/>
        <v>-4.1953098395115873</v>
      </c>
      <c r="P37" s="17">
        <f t="shared" si="28"/>
        <v>15.5</v>
      </c>
      <c r="Q37" s="19">
        <f t="shared" si="32"/>
        <v>29.565813837214904</v>
      </c>
      <c r="R37" s="11">
        <f t="shared" si="2"/>
        <v>0.74823580127456735</v>
      </c>
      <c r="S37" s="19">
        <f t="shared" si="3"/>
        <v>139.17185903706954</v>
      </c>
      <c r="T37" s="19">
        <f t="shared" si="4"/>
        <v>139.17185903706954</v>
      </c>
      <c r="U37" s="19">
        <f t="shared" si="5"/>
        <v>83.804000000000016</v>
      </c>
      <c r="W37" s="10">
        <f t="shared" si="29"/>
        <v>19</v>
      </c>
      <c r="X37" s="11">
        <f t="shared" si="6"/>
        <v>0</v>
      </c>
      <c r="Y37" s="19">
        <f t="shared" si="16"/>
        <v>0</v>
      </c>
      <c r="Z37" s="19">
        <f t="shared" si="17"/>
        <v>0</v>
      </c>
      <c r="AA37" s="17">
        <f t="shared" si="18"/>
        <v>13.393333333333333</v>
      </c>
      <c r="AB37" s="10">
        <f t="shared" si="7"/>
        <v>0</v>
      </c>
      <c r="AC37" s="42">
        <f t="shared" si="19"/>
        <v>0</v>
      </c>
      <c r="AD37" s="17">
        <f t="shared" si="20"/>
        <v>13.393333333333333</v>
      </c>
      <c r="AE37" s="19">
        <f t="shared" si="21"/>
        <v>0</v>
      </c>
      <c r="AF37" s="19">
        <f>IFERROR(VLOOKUP(W37,Vyber_typu!$M$10:$Q$50,2,FALSE),0)</f>
        <v>222.84245689655168</v>
      </c>
      <c r="AG37" s="19">
        <f>IFERROR(VLOOKUP(W37,Vyber_typu!$M$10:$Q$50,3,FALSE),0)</f>
        <v>5.0149999999999988</v>
      </c>
      <c r="AH37" s="17">
        <f t="shared" si="22"/>
        <v>0</v>
      </c>
      <c r="AI37" s="17">
        <f>IFERROR(VLOOKUP(W37,Vyber_typu!$M$10:$Q$50,5,FALSE),0)</f>
        <v>3.7725000000000013</v>
      </c>
      <c r="AJ37" s="17">
        <f t="shared" si="23"/>
        <v>0</v>
      </c>
      <c r="AK37" s="19">
        <f t="shared" si="30"/>
        <v>0</v>
      </c>
      <c r="AL37" s="19">
        <f t="shared" si="8"/>
        <v>13.393333333333333</v>
      </c>
      <c r="AM37" s="10">
        <f t="shared" si="9"/>
        <v>19</v>
      </c>
      <c r="AN37" s="10">
        <f t="shared" si="31"/>
        <v>0</v>
      </c>
      <c r="AO37" s="10">
        <f t="shared" si="11"/>
        <v>0</v>
      </c>
      <c r="AP37" s="17">
        <f t="shared" si="12"/>
        <v>0</v>
      </c>
      <c r="AQ37" s="17">
        <f t="shared" si="13"/>
        <v>0</v>
      </c>
      <c r="AR37" s="17">
        <f t="shared" si="24"/>
        <v>0</v>
      </c>
      <c r="AS37" s="17">
        <f t="shared" si="25"/>
        <v>0</v>
      </c>
      <c r="AT37" s="45">
        <f t="shared" si="14"/>
        <v>0</v>
      </c>
      <c r="AU37" s="44">
        <f t="shared" si="26"/>
        <v>0</v>
      </c>
      <c r="AV37">
        <f t="shared" si="15"/>
        <v>0</v>
      </c>
      <c r="AW37" s="76">
        <f t="shared" si="27"/>
        <v>0</v>
      </c>
    </row>
    <row r="38" spans="1:49" x14ac:dyDescent="0.25">
      <c r="A38" s="137" t="s">
        <v>549</v>
      </c>
      <c r="B38" s="138"/>
      <c r="C38" s="138"/>
      <c r="D38" s="138"/>
      <c r="E38" s="138"/>
      <c r="F38" s="138"/>
      <c r="G38" s="139"/>
      <c r="H38" s="14"/>
      <c r="J38" s="3"/>
      <c r="N38" s="10">
        <v>16</v>
      </c>
      <c r="O38" s="17">
        <f t="shared" si="0"/>
        <v>-4.1107541707026805</v>
      </c>
      <c r="P38" s="17">
        <f t="shared" si="28"/>
        <v>16</v>
      </c>
      <c r="Q38" s="19">
        <f t="shared" si="32"/>
        <v>30.304570409131721</v>
      </c>
      <c r="R38" s="11">
        <f t="shared" si="2"/>
        <v>0.74550819905492516</v>
      </c>
      <c r="S38" s="19">
        <f t="shared" si="3"/>
        <v>138.66452502421609</v>
      </c>
      <c r="T38" s="19">
        <f t="shared" si="4"/>
        <v>138.66452502421609</v>
      </c>
      <c r="U38" s="19">
        <f t="shared" si="5"/>
        <v>83.804000000000016</v>
      </c>
      <c r="W38" s="10">
        <f t="shared" si="29"/>
        <v>20</v>
      </c>
      <c r="X38" s="11">
        <f t="shared" si="6"/>
        <v>0</v>
      </c>
      <c r="Y38" s="19">
        <f t="shared" si="16"/>
        <v>0</v>
      </c>
      <c r="Z38" s="19">
        <f t="shared" si="17"/>
        <v>0</v>
      </c>
      <c r="AA38" s="17">
        <f t="shared" si="18"/>
        <v>13.393333333333333</v>
      </c>
      <c r="AB38" s="10">
        <f t="shared" si="7"/>
        <v>0</v>
      </c>
      <c r="AC38" s="42">
        <f t="shared" si="19"/>
        <v>0</v>
      </c>
      <c r="AD38" s="17">
        <f t="shared" si="20"/>
        <v>13.393333333333333</v>
      </c>
      <c r="AE38" s="19">
        <f t="shared" si="21"/>
        <v>0</v>
      </c>
      <c r="AF38" s="19">
        <f>IFERROR(VLOOKUP(W38,Vyber_typu!$M$10:$Q$50,2,FALSE),0)</f>
        <v>225.14999999999998</v>
      </c>
      <c r="AG38" s="19">
        <f>IFERROR(VLOOKUP(W38,Vyber_typu!$M$10:$Q$50,3,FALSE),0)</f>
        <v>5.15</v>
      </c>
      <c r="AH38" s="17">
        <f t="shared" si="22"/>
        <v>0</v>
      </c>
      <c r="AI38" s="17">
        <f>IFERROR(VLOOKUP(W38,Vyber_typu!$M$10:$Q$50,5,FALSE),0)</f>
        <v>3.85</v>
      </c>
      <c r="AJ38" s="17">
        <f t="shared" si="23"/>
        <v>0</v>
      </c>
      <c r="AK38" s="19">
        <f t="shared" si="30"/>
        <v>0</v>
      </c>
      <c r="AL38" s="19">
        <f t="shared" si="8"/>
        <v>13.393333333333333</v>
      </c>
      <c r="AM38" s="10">
        <f t="shared" si="9"/>
        <v>20</v>
      </c>
      <c r="AN38" s="10">
        <f t="shared" si="31"/>
        <v>0</v>
      </c>
      <c r="AO38" s="10">
        <f t="shared" si="11"/>
        <v>0</v>
      </c>
      <c r="AP38" s="17">
        <f t="shared" si="12"/>
        <v>0</v>
      </c>
      <c r="AQ38" s="17">
        <f t="shared" si="13"/>
        <v>0</v>
      </c>
      <c r="AR38" s="17">
        <f t="shared" si="24"/>
        <v>0</v>
      </c>
      <c r="AS38" s="17">
        <f t="shared" si="25"/>
        <v>0</v>
      </c>
      <c r="AT38" s="45">
        <f t="shared" si="14"/>
        <v>0</v>
      </c>
      <c r="AU38" s="44">
        <f t="shared" si="26"/>
        <v>0</v>
      </c>
      <c r="AV38">
        <f t="shared" si="15"/>
        <v>0</v>
      </c>
      <c r="AW38" s="76">
        <f t="shared" si="27"/>
        <v>0</v>
      </c>
    </row>
    <row r="39" spans="1:49" x14ac:dyDescent="0.25">
      <c r="A39" s="129" t="s">
        <v>550</v>
      </c>
      <c r="B39" s="56"/>
      <c r="C39" s="56" t="s">
        <v>551</v>
      </c>
      <c r="D39" s="56">
        <v>1000</v>
      </c>
      <c r="E39" s="56" t="s">
        <v>554</v>
      </c>
      <c r="F39" s="56"/>
      <c r="G39" s="130"/>
      <c r="H39" s="14"/>
      <c r="J39" s="3"/>
      <c r="N39" s="10">
        <v>16.5</v>
      </c>
      <c r="O39" s="17">
        <f t="shared" si="0"/>
        <v>-4.0278895278603812</v>
      </c>
      <c r="P39" s="17">
        <f t="shared" si="28"/>
        <v>16.5</v>
      </c>
      <c r="Q39" s="19">
        <f t="shared" si="32"/>
        <v>31.0366288792425</v>
      </c>
      <c r="R39" s="11">
        <f t="shared" si="2"/>
        <v>0.74283514606001233</v>
      </c>
      <c r="S39" s="19">
        <f t="shared" si="3"/>
        <v>138.16733716716229</v>
      </c>
      <c r="T39" s="19">
        <f t="shared" si="4"/>
        <v>138.16733716716229</v>
      </c>
      <c r="U39" s="19">
        <f t="shared" si="5"/>
        <v>83.804000000000016</v>
      </c>
      <c r="W39" s="10">
        <f t="shared" si="29"/>
        <v>21</v>
      </c>
      <c r="X39" s="11">
        <f t="shared" si="6"/>
        <v>0</v>
      </c>
      <c r="Y39" s="19">
        <f t="shared" si="16"/>
        <v>0</v>
      </c>
      <c r="Z39" s="19">
        <f t="shared" si="17"/>
        <v>0</v>
      </c>
      <c r="AA39" s="17">
        <f t="shared" si="18"/>
        <v>13.393333333333333</v>
      </c>
      <c r="AB39" s="10">
        <f t="shared" si="7"/>
        <v>0</v>
      </c>
      <c r="AC39" s="42">
        <f t="shared" si="19"/>
        <v>0</v>
      </c>
      <c r="AD39" s="17">
        <f t="shared" si="20"/>
        <v>13.393333333333333</v>
      </c>
      <c r="AE39" s="19">
        <f t="shared" si="21"/>
        <v>0</v>
      </c>
      <c r="AF39" s="19">
        <f>IFERROR(VLOOKUP(W39,Vyber_typu!$M$10:$Q$50,2,FALSE),0)</f>
        <v>0</v>
      </c>
      <c r="AG39" s="19">
        <f>IFERROR(VLOOKUP(W39,Vyber_typu!$M$10:$Q$50,3,FALSE),0)</f>
        <v>0</v>
      </c>
      <c r="AH39" s="17">
        <f t="shared" si="22"/>
        <v>0</v>
      </c>
      <c r="AI39" s="17">
        <f>IFERROR(VLOOKUP(W39,Vyber_typu!$M$10:$Q$50,5,FALSE),0)</f>
        <v>0</v>
      </c>
      <c r="AJ39" s="17">
        <f t="shared" si="23"/>
        <v>0</v>
      </c>
      <c r="AK39" s="19">
        <f t="shared" si="30"/>
        <v>0</v>
      </c>
      <c r="AL39" s="19">
        <f t="shared" si="8"/>
        <v>13.393333333333333</v>
      </c>
      <c r="AM39" s="10">
        <f t="shared" si="9"/>
        <v>21</v>
      </c>
      <c r="AN39" s="10">
        <f t="shared" si="31"/>
        <v>0</v>
      </c>
      <c r="AO39" s="10">
        <f t="shared" si="11"/>
        <v>0</v>
      </c>
      <c r="AP39" s="17">
        <f t="shared" si="12"/>
        <v>0</v>
      </c>
      <c r="AQ39" s="17">
        <f t="shared" si="13"/>
        <v>0</v>
      </c>
      <c r="AR39" s="17">
        <f t="shared" si="24"/>
        <v>0</v>
      </c>
      <c r="AS39" s="17">
        <f t="shared" si="25"/>
        <v>0</v>
      </c>
      <c r="AT39" s="45">
        <f t="shared" si="14"/>
        <v>0</v>
      </c>
      <c r="AU39" s="44">
        <f t="shared" si="26"/>
        <v>0</v>
      </c>
      <c r="AV39">
        <f t="shared" si="15"/>
        <v>0</v>
      </c>
      <c r="AW39" s="76">
        <f t="shared" si="27"/>
        <v>0</v>
      </c>
    </row>
    <row r="40" spans="1:49" x14ac:dyDescent="0.25">
      <c r="A40" s="140" t="s">
        <v>552</v>
      </c>
      <c r="B40" s="46"/>
      <c r="C40" s="56" t="s">
        <v>41</v>
      </c>
      <c r="D40" s="56">
        <v>4186</v>
      </c>
      <c r="E40" s="56" t="s">
        <v>553</v>
      </c>
      <c r="F40" s="56"/>
      <c r="G40" s="130"/>
      <c r="H40" s="93"/>
      <c r="N40" s="10">
        <v>17</v>
      </c>
      <c r="O40" s="17">
        <f t="shared" si="0"/>
        <v>-3.9466276343287419</v>
      </c>
      <c r="P40" s="17">
        <f t="shared" si="28"/>
        <v>17</v>
      </c>
      <c r="Q40" s="19">
        <f t="shared" si="32"/>
        <v>31.762215330530232</v>
      </c>
      <c r="R40" s="11">
        <f t="shared" si="2"/>
        <v>0.74021379465576587</v>
      </c>
      <c r="S40" s="19">
        <f t="shared" si="3"/>
        <v>137.67976580597247</v>
      </c>
      <c r="T40" s="19">
        <f t="shared" si="4"/>
        <v>137.67976580597247</v>
      </c>
      <c r="U40" s="19">
        <f t="shared" si="5"/>
        <v>83.804000000000016</v>
      </c>
      <c r="W40" s="10">
        <f t="shared" si="29"/>
        <v>22</v>
      </c>
      <c r="X40" s="11">
        <f t="shared" si="6"/>
        <v>0</v>
      </c>
      <c r="Y40" s="19">
        <f t="shared" si="16"/>
        <v>0</v>
      </c>
      <c r="Z40" s="19">
        <f t="shared" si="17"/>
        <v>0</v>
      </c>
      <c r="AA40" s="17">
        <f t="shared" si="18"/>
        <v>13.393333333333333</v>
      </c>
      <c r="AB40" s="10">
        <f t="shared" si="7"/>
        <v>0</v>
      </c>
      <c r="AC40" s="42">
        <f t="shared" si="19"/>
        <v>0</v>
      </c>
      <c r="AD40" s="17">
        <f t="shared" si="20"/>
        <v>13.393333333333333</v>
      </c>
      <c r="AE40" s="19">
        <f t="shared" si="21"/>
        <v>0</v>
      </c>
      <c r="AF40" s="19">
        <f>IFERROR(VLOOKUP(W40,Vyber_typu!$M$10:$Q$50,2,FALSE),0)</f>
        <v>0</v>
      </c>
      <c r="AG40" s="19">
        <f>IFERROR(VLOOKUP(W40,Vyber_typu!$M$10:$Q$50,3,FALSE),0)</f>
        <v>0</v>
      </c>
      <c r="AH40" s="17">
        <f t="shared" si="22"/>
        <v>0</v>
      </c>
      <c r="AI40" s="17">
        <f>IFERROR(VLOOKUP(W40,Vyber_typu!$M$10:$Q$50,5,FALSE),0)</f>
        <v>0</v>
      </c>
      <c r="AJ40" s="17">
        <f t="shared" si="23"/>
        <v>0</v>
      </c>
      <c r="AK40" s="19">
        <f t="shared" si="30"/>
        <v>0</v>
      </c>
      <c r="AL40" s="19">
        <f t="shared" si="8"/>
        <v>13.393333333333333</v>
      </c>
      <c r="AM40" s="10">
        <f t="shared" si="9"/>
        <v>22</v>
      </c>
      <c r="AN40" s="10">
        <f t="shared" si="31"/>
        <v>0</v>
      </c>
      <c r="AO40" s="10">
        <f t="shared" si="11"/>
        <v>0</v>
      </c>
      <c r="AP40" s="17">
        <f t="shared" si="12"/>
        <v>0</v>
      </c>
      <c r="AQ40" s="17">
        <f t="shared" si="13"/>
        <v>0</v>
      </c>
      <c r="AR40" s="17">
        <f t="shared" si="24"/>
        <v>0</v>
      </c>
      <c r="AS40" s="17">
        <f t="shared" si="25"/>
        <v>0</v>
      </c>
      <c r="AT40" s="45">
        <f t="shared" si="14"/>
        <v>0</v>
      </c>
      <c r="AU40" s="44">
        <f t="shared" si="26"/>
        <v>0</v>
      </c>
      <c r="AV40">
        <f t="shared" si="15"/>
        <v>0</v>
      </c>
      <c r="AW40" s="76">
        <f t="shared" si="27"/>
        <v>0</v>
      </c>
    </row>
    <row r="41" spans="1:49" x14ac:dyDescent="0.25">
      <c r="A41" s="129" t="s">
        <v>557</v>
      </c>
      <c r="B41" s="131"/>
      <c r="C41" s="56" t="s">
        <v>555</v>
      </c>
      <c r="D41" s="56">
        <v>10</v>
      </c>
      <c r="E41" s="56" t="s">
        <v>1</v>
      </c>
      <c r="F41" s="56"/>
      <c r="G41" s="130"/>
      <c r="H41" s="93"/>
      <c r="N41" s="10">
        <v>17.5</v>
      </c>
      <c r="O41" s="17">
        <f t="shared" si="0"/>
        <v>-3.8668871328303567</v>
      </c>
      <c r="P41" s="17">
        <f t="shared" si="28"/>
        <v>17.5</v>
      </c>
      <c r="Q41" s="19">
        <f t="shared" si="32"/>
        <v>32.481544436781071</v>
      </c>
      <c r="R41" s="11">
        <f t="shared" si="2"/>
        <v>0.73764152041388242</v>
      </c>
      <c r="S41" s="19">
        <f t="shared" si="3"/>
        <v>137.20132279698214</v>
      </c>
      <c r="T41" s="19">
        <f t="shared" si="4"/>
        <v>137.20132279698214</v>
      </c>
      <c r="U41" s="19">
        <f t="shared" si="5"/>
        <v>83.804000000000016</v>
      </c>
      <c r="W41" s="10">
        <f>W40+1</f>
        <v>23</v>
      </c>
      <c r="X41" s="11">
        <f t="shared" si="6"/>
        <v>0</v>
      </c>
      <c r="Y41" s="19">
        <f t="shared" si="16"/>
        <v>0</v>
      </c>
      <c r="Z41" s="19">
        <f t="shared" si="17"/>
        <v>0</v>
      </c>
      <c r="AA41" s="17">
        <f t="shared" si="18"/>
        <v>13.393333333333333</v>
      </c>
      <c r="AB41" s="10">
        <f t="shared" si="7"/>
        <v>0</v>
      </c>
      <c r="AC41" s="42">
        <f t="shared" si="19"/>
        <v>0</v>
      </c>
      <c r="AD41" s="17">
        <f t="shared" si="20"/>
        <v>13.393333333333333</v>
      </c>
      <c r="AE41" s="19">
        <f t="shared" si="21"/>
        <v>0</v>
      </c>
      <c r="AF41" s="19">
        <f>IFERROR(VLOOKUP(W41,Vyber_typu!$M$10:$Q$50,2,FALSE),0)</f>
        <v>0</v>
      </c>
      <c r="AG41" s="19">
        <f>IFERROR(VLOOKUP(W41,Vyber_typu!$M$10:$Q$50,3,FALSE),0)</f>
        <v>0</v>
      </c>
      <c r="AH41" s="17">
        <f t="shared" si="22"/>
        <v>0</v>
      </c>
      <c r="AI41" s="17">
        <f>IFERROR(VLOOKUP(W41,Vyber_typu!$M$10:$Q$50,5,FALSE),0)</f>
        <v>0</v>
      </c>
      <c r="AJ41" s="17">
        <f t="shared" si="23"/>
        <v>0</v>
      </c>
      <c r="AK41" s="19">
        <f t="shared" si="30"/>
        <v>0</v>
      </c>
      <c r="AL41" s="19">
        <f t="shared" si="8"/>
        <v>13.393333333333333</v>
      </c>
      <c r="AM41" s="10">
        <f t="shared" si="9"/>
        <v>23</v>
      </c>
      <c r="AN41" s="10">
        <f t="shared" si="31"/>
        <v>0</v>
      </c>
      <c r="AO41" s="10">
        <f>IFERROR(AN41*($B$8-#REF!),0)</f>
        <v>0</v>
      </c>
      <c r="AP41" s="17">
        <f t="shared" si="12"/>
        <v>0</v>
      </c>
      <c r="AQ41" s="17">
        <f t="shared" si="13"/>
        <v>0</v>
      </c>
      <c r="AR41" s="17">
        <f t="shared" si="24"/>
        <v>0</v>
      </c>
      <c r="AS41" s="17">
        <f t="shared" si="25"/>
        <v>0</v>
      </c>
      <c r="AT41" s="45">
        <f t="shared" si="14"/>
        <v>0</v>
      </c>
      <c r="AU41" s="44">
        <f t="shared" si="26"/>
        <v>0</v>
      </c>
      <c r="AV41">
        <f t="shared" si="15"/>
        <v>0</v>
      </c>
      <c r="AW41" s="76">
        <f t="shared" si="27"/>
        <v>0</v>
      </c>
    </row>
    <row r="42" spans="1:49" x14ac:dyDescent="0.25">
      <c r="A42" s="129" t="s">
        <v>558</v>
      </c>
      <c r="B42" s="131"/>
      <c r="C42" s="56" t="s">
        <v>556</v>
      </c>
      <c r="D42" s="56">
        <v>55</v>
      </c>
      <c r="E42" s="56" t="s">
        <v>1</v>
      </c>
      <c r="F42" s="56"/>
      <c r="G42" s="130"/>
      <c r="H42" s="93"/>
      <c r="N42" s="10">
        <v>18</v>
      </c>
      <c r="O42" s="17">
        <f t="shared" si="0"/>
        <v>-3.7885928643584776</v>
      </c>
      <c r="P42" s="17">
        <f t="shared" si="28"/>
        <v>18</v>
      </c>
      <c r="Q42" s="19">
        <f t="shared" si="32"/>
        <v>33.194820212741043</v>
      </c>
      <c r="R42" s="11">
        <f t="shared" si="2"/>
        <v>0.7351158988502734</v>
      </c>
      <c r="S42" s="19">
        <f t="shared" si="3"/>
        <v>136.73155718615087</v>
      </c>
      <c r="T42" s="19">
        <f t="shared" si="4"/>
        <v>136.73155718615087</v>
      </c>
      <c r="U42" s="19">
        <f t="shared" si="5"/>
        <v>83.804000000000016</v>
      </c>
      <c r="W42" t="s">
        <v>118</v>
      </c>
      <c r="AC42" s="44">
        <f>SUM(AC6:AC41)</f>
        <v>227.5</v>
      </c>
      <c r="AD42" s="44"/>
      <c r="AE42" s="44">
        <f t="shared" ref="AE42" si="33">SUM(AE6:AE41)</f>
        <v>73127.599999999991</v>
      </c>
      <c r="AF42" s="47">
        <v>0</v>
      </c>
      <c r="AG42" s="44">
        <f t="shared" ref="AG42" si="34">SUM(AG6:AG41)</f>
        <v>114.93000000000002</v>
      </c>
      <c r="AH42" s="44">
        <f>SUM(AH6:AH41)</f>
        <v>760.59299999999996</v>
      </c>
      <c r="AI42" s="44"/>
      <c r="AJ42" s="44">
        <f t="shared" ref="AJ42" si="35">SUM(AJ6:AJ41)</f>
        <v>607.19299999999998</v>
      </c>
      <c r="AO42" s="21">
        <f t="shared" ref="AO42:AU42" si="36">SUM(AO6:AO41)</f>
        <v>3333.5</v>
      </c>
      <c r="AP42" s="22">
        <f t="shared" si="36"/>
        <v>1437.326983874063</v>
      </c>
      <c r="AQ42" s="22">
        <f t="shared" si="36"/>
        <v>27.477554630091944</v>
      </c>
      <c r="AR42" s="22">
        <f t="shared" si="36"/>
        <v>399.25749552057306</v>
      </c>
      <c r="AS42" s="22">
        <f t="shared" si="36"/>
        <v>7.6326540639144298</v>
      </c>
      <c r="AT42" s="22">
        <f t="shared" si="36"/>
        <v>73.127600000000015</v>
      </c>
      <c r="AU42" s="22">
        <f t="shared" si="36"/>
        <v>2486.0022666598952</v>
      </c>
      <c r="AV42" s="22"/>
      <c r="AW42" s="22">
        <f t="shared" ref="AW42" si="37">SUM(AW6:AW41)</f>
        <v>0</v>
      </c>
    </row>
    <row r="43" spans="1:49" x14ac:dyDescent="0.25">
      <c r="A43" s="129" t="s">
        <v>559</v>
      </c>
      <c r="B43" s="131"/>
      <c r="C43" s="56" t="s">
        <v>561</v>
      </c>
      <c r="D43" s="56">
        <v>15</v>
      </c>
      <c r="E43" s="56" t="s">
        <v>1</v>
      </c>
      <c r="F43" s="56"/>
      <c r="G43" s="130"/>
      <c r="H43" s="93"/>
      <c r="N43" s="10">
        <v>18.5</v>
      </c>
      <c r="O43" s="17">
        <f t="shared" si="0"/>
        <v>-3.7116752398697095</v>
      </c>
      <c r="P43" s="17">
        <f t="shared" si="28"/>
        <v>18.5</v>
      </c>
      <c r="Q43" s="19">
        <f t="shared" si="32"/>
        <v>33.902236708651145</v>
      </c>
      <c r="R43" s="11">
        <f t="shared" si="2"/>
        <v>0.73263468515708741</v>
      </c>
      <c r="S43" s="19">
        <f t="shared" si="3"/>
        <v>136.27005143921826</v>
      </c>
      <c r="T43" s="19">
        <f t="shared" si="4"/>
        <v>136.27005143921826</v>
      </c>
      <c r="U43" s="19">
        <f t="shared" si="5"/>
        <v>83.804000000000016</v>
      </c>
      <c r="W43" s="9"/>
      <c r="AH43" s="48">
        <f>AH42/B9</f>
        <v>3.3804133333333333</v>
      </c>
      <c r="AI43" s="48"/>
      <c r="AJ43" s="48">
        <f>AJ42/B9</f>
        <v>2.6986355555555557</v>
      </c>
      <c r="AR43" t="s">
        <v>109</v>
      </c>
      <c r="AS43" t="s">
        <v>111</v>
      </c>
    </row>
    <row r="44" spans="1:49" x14ac:dyDescent="0.25">
      <c r="A44" s="129" t="s">
        <v>560</v>
      </c>
      <c r="B44" s="131"/>
      <c r="C44" s="56" t="s">
        <v>562</v>
      </c>
      <c r="D44" s="56">
        <v>5</v>
      </c>
      <c r="E44" s="56" t="s">
        <v>1</v>
      </c>
      <c r="F44" s="56"/>
      <c r="G44" s="130"/>
      <c r="H44" s="93"/>
      <c r="N44" s="10">
        <v>19</v>
      </c>
      <c r="O44" s="17">
        <f t="shared" si="0"/>
        <v>-3.6360696906779744</v>
      </c>
      <c r="P44" s="17">
        <f t="shared" si="28"/>
        <v>19</v>
      </c>
      <c r="Q44" s="19">
        <f t="shared" si="32"/>
        <v>34.603978652857279</v>
      </c>
      <c r="R44" s="11">
        <f t="shared" si="2"/>
        <v>0.73019579647348298</v>
      </c>
      <c r="S44" s="19">
        <f t="shared" si="3"/>
        <v>135.81641814406782</v>
      </c>
      <c r="T44" s="19">
        <f t="shared" si="4"/>
        <v>135.81641814406782</v>
      </c>
      <c r="U44" s="19">
        <f t="shared" si="5"/>
        <v>83.804000000000016</v>
      </c>
      <c r="AH44" s="6" t="s">
        <v>465</v>
      </c>
      <c r="AI44" s="6"/>
      <c r="AJ44" s="6" t="s">
        <v>289</v>
      </c>
      <c r="AM44" t="s">
        <v>274</v>
      </c>
      <c r="AR44" t="s">
        <v>110</v>
      </c>
      <c r="AS44" t="s">
        <v>112</v>
      </c>
    </row>
    <row r="45" spans="1:49" x14ac:dyDescent="0.25">
      <c r="A45" s="129" t="s">
        <v>563</v>
      </c>
      <c r="B45" s="56"/>
      <c r="C45" s="56" t="s">
        <v>564</v>
      </c>
      <c r="D45" s="56">
        <v>365</v>
      </c>
      <c r="E45" s="56" t="s">
        <v>14</v>
      </c>
      <c r="F45" s="56"/>
      <c r="G45" s="130"/>
      <c r="H45" s="14"/>
      <c r="N45" s="10">
        <v>19.5</v>
      </c>
      <c r="O45" s="17">
        <f t="shared" si="0"/>
        <v>-3.5617161859040536</v>
      </c>
      <c r="P45" s="17">
        <f t="shared" si="28"/>
        <v>19.5</v>
      </c>
      <c r="Q45" s="19">
        <f t="shared" si="32"/>
        <v>35.300222046203025</v>
      </c>
      <c r="R45" s="11">
        <f t="shared" si="2"/>
        <v>0.72779729631948553</v>
      </c>
      <c r="S45" s="19">
        <f t="shared" si="3"/>
        <v>135.37029711542431</v>
      </c>
      <c r="T45" s="19">
        <f t="shared" si="4"/>
        <v>135.37029711542431</v>
      </c>
      <c r="U45" s="19">
        <f t="shared" si="5"/>
        <v>83.804000000000016</v>
      </c>
      <c r="AM45" t="s">
        <v>275</v>
      </c>
      <c r="AN45" s="44">
        <f>365-AC42</f>
        <v>137.5</v>
      </c>
      <c r="AR45" t="s">
        <v>114</v>
      </c>
      <c r="AS45" t="s">
        <v>114</v>
      </c>
    </row>
    <row r="46" spans="1:49" x14ac:dyDescent="0.25">
      <c r="A46" s="129" t="s">
        <v>565</v>
      </c>
      <c r="B46" s="56"/>
      <c r="C46" s="56" t="s">
        <v>566</v>
      </c>
      <c r="D46" s="56">
        <v>0.5</v>
      </c>
      <c r="E46" s="56"/>
      <c r="F46" s="56"/>
      <c r="G46" s="130"/>
      <c r="H46" s="14"/>
      <c r="J46" s="3"/>
      <c r="N46" s="10">
        <v>20</v>
      </c>
      <c r="O46" s="17">
        <f t="shared" si="0"/>
        <v>-3.4885588073094027</v>
      </c>
      <c r="P46" s="17">
        <f t="shared" si="28"/>
        <v>20</v>
      </c>
      <c r="Q46" s="19">
        <f t="shared" si="32"/>
        <v>35.991134711824294</v>
      </c>
      <c r="R46" s="11">
        <f t="shared" si="2"/>
        <v>0.72543738088094845</v>
      </c>
      <c r="S46" s="19">
        <f t="shared" si="3"/>
        <v>134.93135284385642</v>
      </c>
      <c r="T46" s="19">
        <f t="shared" si="4"/>
        <v>134.93135284385642</v>
      </c>
      <c r="U46" s="19">
        <f t="shared" si="5"/>
        <v>83.804000000000016</v>
      </c>
      <c r="AM46" t="s">
        <v>277</v>
      </c>
      <c r="AN46" s="44">
        <f>B23*1000-AE42</f>
        <v>44198.000000000015</v>
      </c>
      <c r="AO46" t="s">
        <v>268</v>
      </c>
      <c r="AR46" s="64">
        <f>IF(AS51="v",(AR42)*(1+AS50),AR42)</f>
        <v>419.22037029660174</v>
      </c>
      <c r="AS46" s="64">
        <f>IF(AS51="v",(AS42+AN58)*(1+AS50),AS42+AN58)</f>
        <v>8.0142867671101516</v>
      </c>
      <c r="AT46" s="63"/>
      <c r="AU46" s="63"/>
    </row>
    <row r="47" spans="1:49" x14ac:dyDescent="0.25">
      <c r="A47" s="129"/>
      <c r="B47" s="56"/>
      <c r="C47" s="56" t="s">
        <v>567</v>
      </c>
      <c r="D47" s="56">
        <f>D45-B9</f>
        <v>140</v>
      </c>
      <c r="E47" s="56"/>
      <c r="F47" s="56"/>
      <c r="G47" s="130"/>
      <c r="H47" s="14"/>
      <c r="J47" s="3"/>
      <c r="N47" s="10">
        <v>20.5</v>
      </c>
      <c r="O47" s="17">
        <f t="shared" si="0"/>
        <v>-3.4165453734426841</v>
      </c>
      <c r="P47" s="17">
        <f t="shared" si="28"/>
        <v>20.5</v>
      </c>
      <c r="Q47" s="19">
        <f t="shared" si="32"/>
        <v>36.676876803803381</v>
      </c>
      <c r="R47" s="11">
        <f t="shared" si="2"/>
        <v>0.72311436688524788</v>
      </c>
      <c r="S47" s="19">
        <f t="shared" si="3"/>
        <v>134.4992722406561</v>
      </c>
      <c r="T47" s="19">
        <f t="shared" si="4"/>
        <v>134.4992722406561</v>
      </c>
      <c r="U47" s="19">
        <f t="shared" si="5"/>
        <v>83.804000000000016</v>
      </c>
      <c r="AM47" t="s">
        <v>278</v>
      </c>
      <c r="AN47">
        <f>AT42+AN46/1000</f>
        <v>117.32560000000004</v>
      </c>
      <c r="AO47" t="s">
        <v>114</v>
      </c>
      <c r="AR47" s="63" t="s">
        <v>419</v>
      </c>
      <c r="AS47" s="63"/>
      <c r="AT47" s="63"/>
      <c r="AU47" s="63"/>
    </row>
    <row r="48" spans="1:49" x14ac:dyDescent="0.25">
      <c r="A48" s="129"/>
      <c r="B48" s="131"/>
      <c r="C48" s="56" t="s">
        <v>568</v>
      </c>
      <c r="D48" s="56">
        <f>(D42-D43)/(D42-D44)</f>
        <v>0.8</v>
      </c>
      <c r="E48" s="56"/>
      <c r="F48" s="56"/>
      <c r="G48" s="130"/>
      <c r="H48" s="14"/>
      <c r="N48" s="10">
        <v>21</v>
      </c>
      <c r="O48" s="17">
        <f t="shared" si="0"/>
        <v>-3.3456271063298502</v>
      </c>
      <c r="P48" s="17">
        <f t="shared" si="28"/>
        <v>21</v>
      </c>
      <c r="Q48" s="19">
        <f t="shared" si="32"/>
        <v>37.357601277946166</v>
      </c>
      <c r="R48" s="11">
        <f t="shared" si="2"/>
        <v>0.72082668084934998</v>
      </c>
      <c r="S48" s="19">
        <f t="shared" si="3"/>
        <v>134.07376263797909</v>
      </c>
      <c r="T48" s="19">
        <f t="shared" si="4"/>
        <v>134.07376263797909</v>
      </c>
      <c r="U48" s="19">
        <f t="shared" si="5"/>
        <v>83.804000000000016</v>
      </c>
      <c r="AO48" s="3"/>
      <c r="AR48" s="14" t="s">
        <v>283</v>
      </c>
      <c r="AS48" s="14" t="s">
        <v>284</v>
      </c>
    </row>
    <row r="49" spans="1:48" x14ac:dyDescent="0.25">
      <c r="A49" s="129" t="s">
        <v>569</v>
      </c>
      <c r="B49" s="131"/>
      <c r="C49" s="56" t="s">
        <v>570</v>
      </c>
      <c r="D49" s="136">
        <f>Výpočet!J20</f>
        <v>40</v>
      </c>
      <c r="E49" s="56" t="s">
        <v>114</v>
      </c>
      <c r="F49" s="56"/>
      <c r="G49" s="130"/>
      <c r="H49" s="93"/>
      <c r="N49" s="10">
        <v>21.5</v>
      </c>
      <c r="O49" s="17">
        <f t="shared" si="0"/>
        <v>-3.275758335005527</v>
      </c>
      <c r="P49" s="17">
        <f t="shared" si="28"/>
        <v>21.5</v>
      </c>
      <c r="Q49" s="19">
        <f t="shared" si="32"/>
        <v>38.033454327729324</v>
      </c>
      <c r="R49" s="11">
        <f t="shared" si="2"/>
        <v>0.71857284951630729</v>
      </c>
      <c r="S49" s="19">
        <f t="shared" si="3"/>
        <v>133.65455001003315</v>
      </c>
      <c r="T49" s="19">
        <f t="shared" si="4"/>
        <v>133.65455001003315</v>
      </c>
      <c r="U49" s="19">
        <f t="shared" si="5"/>
        <v>83.804000000000016</v>
      </c>
      <c r="AN49" s="2"/>
      <c r="AO49" s="3"/>
      <c r="AR49" t="s">
        <v>415</v>
      </c>
    </row>
    <row r="50" spans="1:48" x14ac:dyDescent="0.25">
      <c r="A50" s="129"/>
      <c r="B50" s="131"/>
      <c r="C50" s="56" t="s">
        <v>571</v>
      </c>
      <c r="D50" s="131">
        <f>(D49/(B9+0.8*D48*D47))*1000</f>
        <v>127.14558169103624</v>
      </c>
      <c r="E50" s="56" t="s">
        <v>268</v>
      </c>
      <c r="F50" s="56"/>
      <c r="G50" s="130"/>
      <c r="H50" s="93"/>
      <c r="N50" s="10">
        <v>22</v>
      </c>
      <c r="O50" s="17">
        <f t="shared" si="0"/>
        <v>-3.2068962310611226</v>
      </c>
      <c r="P50" s="17">
        <f t="shared" si="28"/>
        <v>22</v>
      </c>
      <c r="Q50" s="19">
        <f t="shared" si="32"/>
        <v>38.704575788246856</v>
      </c>
      <c r="R50" s="11">
        <f t="shared" si="2"/>
        <v>0.71635149132455234</v>
      </c>
      <c r="S50" s="19">
        <f t="shared" si="3"/>
        <v>133.24137738636674</v>
      </c>
      <c r="T50" s="19">
        <f t="shared" si="4"/>
        <v>133.24137738636674</v>
      </c>
      <c r="U50" s="19">
        <f t="shared" si="5"/>
        <v>83.804000000000016</v>
      </c>
      <c r="AN50" s="2"/>
      <c r="AR50" t="s">
        <v>416</v>
      </c>
      <c r="AS50" s="66">
        <v>0.05</v>
      </c>
    </row>
    <row r="51" spans="1:48" ht="15.75" thickBot="1" x14ac:dyDescent="0.3">
      <c r="A51" s="133" t="s">
        <v>573</v>
      </c>
      <c r="B51" s="141"/>
      <c r="C51" s="134" t="s">
        <v>572</v>
      </c>
      <c r="D51" s="142">
        <f>1000*(D50*3600)/((1+D46)*D39*D40*(D42-D41))</f>
        <v>1.6199468920660773</v>
      </c>
      <c r="E51" s="134" t="s">
        <v>574</v>
      </c>
      <c r="F51" s="134"/>
      <c r="G51" s="135"/>
      <c r="H51" s="93"/>
      <c r="N51" s="10">
        <v>22.5</v>
      </c>
      <c r="O51" s="17">
        <f t="shared" si="0"/>
        <v>-3.1390005721112395</v>
      </c>
      <c r="P51" s="17">
        <f t="shared" si="28"/>
        <v>22.5</v>
      </c>
      <c r="Q51" s="19">
        <f t="shared" si="32"/>
        <v>39.371099510766307</v>
      </c>
      <c r="R51" s="11">
        <f t="shared" si="2"/>
        <v>0.71416130877778194</v>
      </c>
      <c r="S51" s="19">
        <f t="shared" si="3"/>
        <v>132.83400343266743</v>
      </c>
      <c r="T51" s="19">
        <f t="shared" si="4"/>
        <v>132.83400343266743</v>
      </c>
      <c r="U51" s="19">
        <f t="shared" si="5"/>
        <v>83.804000000000016</v>
      </c>
      <c r="AR51" t="s">
        <v>417</v>
      </c>
      <c r="AS51" s="6" t="str">
        <f>Vyber_typu!F5</f>
        <v>V</v>
      </c>
    </row>
    <row r="52" spans="1:48" x14ac:dyDescent="0.25">
      <c r="A52" s="14"/>
      <c r="B52" s="92"/>
      <c r="C52" s="14"/>
      <c r="D52" s="14"/>
      <c r="E52" s="14"/>
      <c r="F52" s="14"/>
      <c r="G52" s="14"/>
      <c r="H52" s="93"/>
      <c r="N52" s="10">
        <v>23</v>
      </c>
      <c r="O52" s="17">
        <f t="shared" si="0"/>
        <v>-3.0720335296831749</v>
      </c>
      <c r="P52" s="17">
        <f t="shared" si="28"/>
        <v>23</v>
      </c>
      <c r="Q52" s="19">
        <f t="shared" si="32"/>
        <v>40.033153710295593</v>
      </c>
      <c r="R52" s="11">
        <f t="shared" si="2"/>
        <v>0.71200108160268305</v>
      </c>
      <c r="S52" s="19">
        <f t="shared" si="3"/>
        <v>132.43220117809904</v>
      </c>
      <c r="T52" s="19">
        <f t="shared" si="4"/>
        <v>132.43220117809904</v>
      </c>
      <c r="U52" s="19">
        <f t="shared" si="5"/>
        <v>83.804000000000016</v>
      </c>
      <c r="AM52" t="s">
        <v>287</v>
      </c>
      <c r="AT52" s="65"/>
    </row>
    <row r="53" spans="1:48" x14ac:dyDescent="0.25">
      <c r="N53" s="10">
        <v>23.5</v>
      </c>
      <c r="O53" s="17">
        <f t="shared" si="0"/>
        <v>-3.0059594785375232</v>
      </c>
      <c r="P53" s="17">
        <f t="shared" si="28"/>
        <v>23.5</v>
      </c>
      <c r="Q53" s="19">
        <f t="shared" si="32"/>
        <v>40.69086128836382</v>
      </c>
      <c r="R53" s="11">
        <f t="shared" si="2"/>
        <v>0.70986966059798462</v>
      </c>
      <c r="S53" s="19">
        <f t="shared" si="3"/>
        <v>132.03575687122515</v>
      </c>
      <c r="T53" s="19">
        <f t="shared" si="4"/>
        <v>132.03575687122515</v>
      </c>
      <c r="U53" s="19">
        <f t="shared" si="5"/>
        <v>83.804000000000016</v>
      </c>
      <c r="AG53" t="s">
        <v>303</v>
      </c>
      <c r="AM53" t="s">
        <v>288</v>
      </c>
      <c r="AN53" s="2">
        <f>AH43</f>
        <v>3.3804133333333333</v>
      </c>
      <c r="AT53" s="65"/>
    </row>
    <row r="54" spans="1:48" x14ac:dyDescent="0.25">
      <c r="J54" s="3"/>
      <c r="N54" s="10">
        <v>24</v>
      </c>
      <c r="O54" s="17">
        <f t="shared" si="0"/>
        <v>-2.9407448248497765</v>
      </c>
      <c r="P54" s="17">
        <f t="shared" si="28"/>
        <v>24</v>
      </c>
      <c r="Q54" s="19">
        <f t="shared" si="32"/>
        <v>41.344340133032269</v>
      </c>
      <c r="R54" s="11">
        <f t="shared" si="2"/>
        <v>0.70776596209192821</v>
      </c>
      <c r="S54" s="19">
        <f t="shared" si="3"/>
        <v>131.64446894909864</v>
      </c>
      <c r="T54" s="19">
        <f t="shared" si="4"/>
        <v>131.64446894909864</v>
      </c>
      <c r="U54" s="19">
        <f t="shared" si="5"/>
        <v>83.804000000000016</v>
      </c>
      <c r="AG54" t="s">
        <v>304</v>
      </c>
      <c r="AM54" t="s">
        <v>289</v>
      </c>
      <c r="AN54" s="2">
        <f>AJ43</f>
        <v>2.6986355555555557</v>
      </c>
      <c r="AO54" t="s">
        <v>298</v>
      </c>
      <c r="AP54" t="s">
        <v>297</v>
      </c>
      <c r="AT54" s="6"/>
    </row>
    <row r="55" spans="1:48" x14ac:dyDescent="0.25">
      <c r="J55" s="3"/>
      <c r="N55" s="10">
        <v>24.5</v>
      </c>
      <c r="O55" s="17">
        <f t="shared" si="0"/>
        <v>-2.8763578510376089</v>
      </c>
      <c r="P55" s="17">
        <f t="shared" si="28"/>
        <v>24.5</v>
      </c>
      <c r="Q55" s="19">
        <f t="shared" si="32"/>
        <v>41.993703397979743</v>
      </c>
      <c r="R55" s="11">
        <f t="shared" si="2"/>
        <v>0.70568896293669714</v>
      </c>
      <c r="S55" s="19">
        <f t="shared" si="3"/>
        <v>131.25814710622566</v>
      </c>
      <c r="T55" s="19">
        <f t="shared" si="4"/>
        <v>131.25814710622566</v>
      </c>
      <c r="U55" s="19">
        <f t="shared" si="5"/>
        <v>83.804000000000016</v>
      </c>
      <c r="AG55" t="s">
        <v>290</v>
      </c>
      <c r="AH55">
        <v>15</v>
      </c>
      <c r="AK55" t="s">
        <v>302</v>
      </c>
      <c r="AL55" t="s">
        <v>393</v>
      </c>
      <c r="AM55" t="s">
        <v>291</v>
      </c>
      <c r="AN55" s="2">
        <f>AR42</f>
        <v>399.25749552057306</v>
      </c>
      <c r="AO55" t="s">
        <v>114</v>
      </c>
      <c r="AP55" t="s">
        <v>293</v>
      </c>
      <c r="AQ55" s="2">
        <f>AN55/AN53</f>
        <v>118.1090760658183</v>
      </c>
      <c r="AR55" t="s">
        <v>114</v>
      </c>
      <c r="AS55" t="s">
        <v>299</v>
      </c>
      <c r="AT55" s="65">
        <f>IF(AS51="v",AQ55*(1+AS50),AQ55)</f>
        <v>124.01452986910923</v>
      </c>
      <c r="AU55" t="s">
        <v>114</v>
      </c>
      <c r="AV55" t="s">
        <v>418</v>
      </c>
    </row>
    <row r="56" spans="1:48" x14ac:dyDescent="0.25">
      <c r="A56" t="s">
        <v>36</v>
      </c>
      <c r="B56" s="30">
        <f>MAX(AK6:AK41)</f>
        <v>65.896551724137936</v>
      </c>
      <c r="C56" t="s">
        <v>35</v>
      </c>
      <c r="D56" t="s">
        <v>157</v>
      </c>
      <c r="N56" s="10">
        <v>25</v>
      </c>
      <c r="O56" s="17">
        <f t="shared" si="0"/>
        <v>-2.8127685753182998</v>
      </c>
      <c r="P56" s="17">
        <f t="shared" si="28"/>
        <v>25</v>
      </c>
      <c r="Q56" s="19">
        <f t="shared" si="32"/>
        <v>42.63905976234571</v>
      </c>
      <c r="R56" s="11">
        <f t="shared" si="2"/>
        <v>0.70363769597800974</v>
      </c>
      <c r="S56" s="19">
        <f t="shared" si="3"/>
        <v>130.87661145190981</v>
      </c>
      <c r="T56" s="19">
        <f t="shared" si="4"/>
        <v>130.87661145190981</v>
      </c>
      <c r="U56" s="19">
        <f t="shared" si="5"/>
        <v>83.804000000000016</v>
      </c>
      <c r="AL56" t="s">
        <v>393</v>
      </c>
      <c r="AM56" t="s">
        <v>292</v>
      </c>
      <c r="AN56" s="2">
        <f>AS42</f>
        <v>7.6326540639144298</v>
      </c>
      <c r="AO56" t="s">
        <v>114</v>
      </c>
      <c r="AP56" t="s">
        <v>294</v>
      </c>
      <c r="AQ56" s="2">
        <f>AN56</f>
        <v>7.6326540639144298</v>
      </c>
      <c r="AR56" t="s">
        <v>114</v>
      </c>
      <c r="AS56" t="s">
        <v>300</v>
      </c>
      <c r="AT56" s="65">
        <f>IF(AS51="v",AQ56*(1+AS50),AQ56)</f>
        <v>8.0142867671101516</v>
      </c>
      <c r="AU56" t="s">
        <v>114</v>
      </c>
      <c r="AV56" t="s">
        <v>418</v>
      </c>
    </row>
    <row r="57" spans="1:48" x14ac:dyDescent="0.25">
      <c r="A57" t="s">
        <v>37</v>
      </c>
      <c r="C57" t="s">
        <v>35</v>
      </c>
      <c r="D57" t="s">
        <v>119</v>
      </c>
      <c r="N57" s="10">
        <v>25.5</v>
      </c>
      <c r="O57" s="17">
        <f t="shared" si="0"/>
        <v>-2.7499486243345288</v>
      </c>
      <c r="P57" s="17">
        <f t="shared" si="28"/>
        <v>25.5</v>
      </c>
      <c r="Q57" s="19">
        <f t="shared" si="32"/>
        <v>43.280513672870732</v>
      </c>
      <c r="R57" s="11">
        <f t="shared" si="2"/>
        <v>0.70161124594627511</v>
      </c>
      <c r="S57" s="19">
        <f t="shared" si="3"/>
        <v>130.49969174600716</v>
      </c>
      <c r="T57" s="19">
        <f t="shared" si="4"/>
        <v>130.49969174600716</v>
      </c>
      <c r="U57" s="19">
        <f t="shared" si="5"/>
        <v>83.804000000000016</v>
      </c>
      <c r="AN57" s="2"/>
      <c r="AQ57" s="2"/>
      <c r="AT57" t="s">
        <v>301</v>
      </c>
    </row>
    <row r="58" spans="1:48" x14ac:dyDescent="0.25">
      <c r="A58" t="s">
        <v>39</v>
      </c>
      <c r="B58" s="8"/>
      <c r="C58" t="s">
        <v>51</v>
      </c>
      <c r="N58" s="10">
        <v>26</v>
      </c>
      <c r="O58" s="17">
        <f t="shared" si="0"/>
        <v>-2.6878711174030379</v>
      </c>
      <c r="P58" s="17">
        <f t="shared" si="28"/>
        <v>26</v>
      </c>
      <c r="Q58" s="19">
        <f t="shared" si="32"/>
        <v>43.918165569737191</v>
      </c>
      <c r="R58" s="11">
        <f t="shared" si="2"/>
        <v>0.69960874572267862</v>
      </c>
      <c r="S58" s="19">
        <f t="shared" si="3"/>
        <v>130.12722670441823</v>
      </c>
      <c r="T58" s="19">
        <f t="shared" si="4"/>
        <v>130.12722670441823</v>
      </c>
      <c r="U58" s="19">
        <f t="shared" si="5"/>
        <v>83.804000000000016</v>
      </c>
      <c r="AN58" s="2"/>
      <c r="AQ58" s="2"/>
    </row>
    <row r="59" spans="1:48" x14ac:dyDescent="0.25">
      <c r="A59" t="s">
        <v>40</v>
      </c>
      <c r="B59" s="8"/>
      <c r="C59" t="s">
        <v>50</v>
      </c>
      <c r="N59" s="10">
        <v>26.5</v>
      </c>
      <c r="O59" s="17">
        <f t="shared" si="0"/>
        <v>-2.6265105611250146</v>
      </c>
      <c r="P59" s="17">
        <f t="shared" si="28"/>
        <v>26.5</v>
      </c>
      <c r="Q59" s="19">
        <f t="shared" si="32"/>
        <v>44.552112097391323</v>
      </c>
      <c r="R59" s="11">
        <f t="shared" si="2"/>
        <v>0.69762937293951666</v>
      </c>
      <c r="S59" s="19">
        <f t="shared" si="3"/>
        <v>129.7590633667501</v>
      </c>
      <c r="T59" s="19">
        <f t="shared" si="4"/>
        <v>129.7590633667501</v>
      </c>
      <c r="U59" s="19">
        <f t="shared" si="5"/>
        <v>83.804000000000016</v>
      </c>
    </row>
    <row r="60" spans="1:48" x14ac:dyDescent="0.25">
      <c r="A60" t="s">
        <v>41</v>
      </c>
      <c r="B60" s="8">
        <f>B57/B20</f>
        <v>0</v>
      </c>
      <c r="C60" t="s">
        <v>52</v>
      </c>
      <c r="N60" s="10">
        <v>27</v>
      </c>
      <c r="O60" s="17">
        <f t="shared" si="0"/>
        <v>-2.5658427532546515</v>
      </c>
      <c r="P60" s="17">
        <f t="shared" si="28"/>
        <v>27</v>
      </c>
      <c r="Q60" s="19">
        <f t="shared" si="32"/>
        <v>45.182446301518382</v>
      </c>
      <c r="R60" s="11">
        <f t="shared" si="2"/>
        <v>0.69567234687918222</v>
      </c>
      <c r="S60" s="19">
        <f t="shared" si="3"/>
        <v>129.39505651952788</v>
      </c>
      <c r="T60" s="19">
        <f t="shared" si="4"/>
        <v>129.39505651952788</v>
      </c>
      <c r="U60" s="19">
        <f t="shared" si="5"/>
        <v>83.804000000000016</v>
      </c>
      <c r="AG60" t="s">
        <v>467</v>
      </c>
      <c r="AJ60" t="s">
        <v>475</v>
      </c>
    </row>
    <row r="61" spans="1:48" x14ac:dyDescent="0.25">
      <c r="N61" s="10">
        <v>27.5</v>
      </c>
      <c r="O61" s="17">
        <f t="shared" si="0"/>
        <v>-2.5058446948582063</v>
      </c>
      <c r="P61" s="17">
        <f t="shared" si="28"/>
        <v>27.5</v>
      </c>
      <c r="Q61" s="19">
        <f t="shared" si="32"/>
        <v>45.809257813238446</v>
      </c>
      <c r="R61" s="11">
        <f t="shared" si="2"/>
        <v>0.6937369256405872</v>
      </c>
      <c r="S61" s="19">
        <f t="shared" si="3"/>
        <v>129.03506816914921</v>
      </c>
      <c r="T61" s="19">
        <f t="shared" si="4"/>
        <v>129.03506816914921</v>
      </c>
      <c r="U61" s="19">
        <f t="shared" si="5"/>
        <v>83.804000000000016</v>
      </c>
      <c r="AG61" t="s">
        <v>468</v>
      </c>
      <c r="AH61">
        <f>365-B9</f>
        <v>140</v>
      </c>
      <c r="AJ61" t="s">
        <v>116</v>
      </c>
      <c r="AK61" t="s">
        <v>286</v>
      </c>
      <c r="AL61" s="2">
        <f>B23-AL62-AH64</f>
        <v>72.324000000000012</v>
      </c>
      <c r="AM61" t="s">
        <v>114</v>
      </c>
      <c r="AN61" t="s">
        <v>295</v>
      </c>
      <c r="AO61" s="2">
        <f>AL61/AN54</f>
        <v>26.800210147350185</v>
      </c>
      <c r="AP61" t="s">
        <v>114</v>
      </c>
    </row>
    <row r="62" spans="1:48" x14ac:dyDescent="0.25">
      <c r="A62" t="s">
        <v>46</v>
      </c>
      <c r="D62" s="6" t="s">
        <v>55</v>
      </c>
      <c r="N62" s="10">
        <v>28</v>
      </c>
      <c r="O62" s="17">
        <f t="shared" si="0"/>
        <v>-2.4464945099124975</v>
      </c>
      <c r="P62" s="17">
        <f t="shared" si="28"/>
        <v>28</v>
      </c>
      <c r="Q62" s="19">
        <f t="shared" si="32"/>
        <v>46.432633021499271</v>
      </c>
      <c r="R62" s="11">
        <f t="shared" si="2"/>
        <v>0.69182240354556446</v>
      </c>
      <c r="S62" s="19">
        <f t="shared" si="3"/>
        <v>128.67896705947499</v>
      </c>
      <c r="T62" s="19">
        <f t="shared" si="4"/>
        <v>128.67896705947499</v>
      </c>
      <c r="U62" s="19">
        <f t="shared" si="5"/>
        <v>83.804000000000016</v>
      </c>
      <c r="AG62" s="80" t="s">
        <v>469</v>
      </c>
      <c r="AH62" s="76">
        <f>(($B$23*1000)/365)/24</f>
        <v>13.393333333333333</v>
      </c>
      <c r="AI62" t="s">
        <v>35</v>
      </c>
      <c r="AJ62" t="s">
        <v>116</v>
      </c>
      <c r="AK62" t="s">
        <v>285</v>
      </c>
      <c r="AL62" s="2">
        <f>AW42</f>
        <v>0</v>
      </c>
      <c r="AM62" t="s">
        <v>114</v>
      </c>
      <c r="AN62" t="s">
        <v>296</v>
      </c>
      <c r="AO62" s="2">
        <f>AL62</f>
        <v>0</v>
      </c>
      <c r="AP62" t="s">
        <v>114</v>
      </c>
    </row>
    <row r="63" spans="1:48" x14ac:dyDescent="0.25">
      <c r="A63" t="s">
        <v>47</v>
      </c>
      <c r="B63">
        <f>B5</f>
        <v>-12</v>
      </c>
      <c r="C63" t="s">
        <v>1</v>
      </c>
      <c r="D63">
        <v>0</v>
      </c>
      <c r="E63" t="s">
        <v>22</v>
      </c>
      <c r="L63" t="s">
        <v>58</v>
      </c>
      <c r="N63" s="10">
        <v>28.5</v>
      </c>
      <c r="O63" s="17">
        <f t="shared" si="0"/>
        <v>-2.3877713715926063</v>
      </c>
      <c r="P63" s="17">
        <f t="shared" si="28"/>
        <v>28.5</v>
      </c>
      <c r="Q63" s="19">
        <f t="shared" si="32"/>
        <v>47.052655234559758</v>
      </c>
      <c r="R63" s="11">
        <f t="shared" si="2"/>
        <v>0.68992810876105182</v>
      </c>
      <c r="S63" s="19">
        <f t="shared" si="3"/>
        <v>128.32662822955564</v>
      </c>
      <c r="T63" s="19">
        <f t="shared" si="4"/>
        <v>128.32662822955564</v>
      </c>
      <c r="U63" s="19">
        <f t="shared" si="5"/>
        <v>83.804000000000016</v>
      </c>
      <c r="AG63" s="80" t="s">
        <v>470</v>
      </c>
      <c r="AH63" s="3">
        <f>AH61*24*AH62</f>
        <v>45001.599999999999</v>
      </c>
      <c r="AI63" t="s">
        <v>268</v>
      </c>
    </row>
    <row r="64" spans="1:48" x14ac:dyDescent="0.25">
      <c r="A64" t="s">
        <v>48</v>
      </c>
      <c r="B64" s="4">
        <v>-3.5</v>
      </c>
      <c r="C64" t="s">
        <v>1</v>
      </c>
      <c r="D64">
        <f>L64</f>
        <v>19.5</v>
      </c>
      <c r="E64" s="13">
        <f>D64/$D$67</f>
        <v>8.666666666666667E-2</v>
      </c>
      <c r="F64" t="s">
        <v>56</v>
      </c>
      <c r="H64" s="6">
        <f>B63</f>
        <v>-12</v>
      </c>
      <c r="I64" s="6" t="s">
        <v>57</v>
      </c>
      <c r="J64" s="6">
        <f>B64</f>
        <v>-3.5</v>
      </c>
      <c r="K64" t="s">
        <v>1</v>
      </c>
      <c r="L64">
        <f>VLOOKUP(B64,$O$6:$Q$606,2,TRUE)</f>
        <v>19.5</v>
      </c>
      <c r="N64" s="10">
        <v>29</v>
      </c>
      <c r="O64" s="17">
        <f t="shared" si="0"/>
        <v>-2.3296554345859768</v>
      </c>
      <c r="P64" s="17">
        <f t="shared" si="28"/>
        <v>29</v>
      </c>
      <c r="Q64" s="19">
        <f t="shared" si="32"/>
        <v>47.669404831380071</v>
      </c>
      <c r="R64" s="11">
        <f t="shared" si="2"/>
        <v>0.6880534011156767</v>
      </c>
      <c r="S64" s="19">
        <f t="shared" si="3"/>
        <v>127.97793260751587</v>
      </c>
      <c r="T64" s="19">
        <f t="shared" si="4"/>
        <v>127.97793260751587</v>
      </c>
      <c r="U64" s="19">
        <f t="shared" si="5"/>
        <v>83.804000000000016</v>
      </c>
      <c r="AG64" s="80"/>
      <c r="AH64" s="76">
        <f>AH63/1000</f>
        <v>45.001599999999996</v>
      </c>
      <c r="AI64" t="s">
        <v>114</v>
      </c>
    </row>
    <row r="65" spans="1:40" x14ac:dyDescent="0.25">
      <c r="A65" t="s">
        <v>49</v>
      </c>
      <c r="B65" s="4">
        <v>9.5</v>
      </c>
      <c r="C65" t="s">
        <v>1</v>
      </c>
      <c r="D65">
        <f>L65-L64</f>
        <v>167</v>
      </c>
      <c r="E65" s="13">
        <f>D65/$D$67</f>
        <v>0.74222222222222223</v>
      </c>
      <c r="F65" t="s">
        <v>56</v>
      </c>
      <c r="H65" s="6">
        <f>B64</f>
        <v>-3.5</v>
      </c>
      <c r="I65" s="6" t="s">
        <v>57</v>
      </c>
      <c r="J65" s="6">
        <f>B65</f>
        <v>9.5</v>
      </c>
      <c r="K65" t="s">
        <v>1</v>
      </c>
      <c r="L65">
        <f>VLOOKUP(B65,$O$6:$Q$606,2,TRUE)</f>
        <v>186.5</v>
      </c>
      <c r="N65" s="10">
        <v>29.5</v>
      </c>
      <c r="O65" s="17">
        <f t="shared" si="0"/>
        <v>-2.2721277728459484</v>
      </c>
      <c r="P65" s="17">
        <f t="shared" si="28"/>
        <v>29.5</v>
      </c>
      <c r="Q65" s="19">
        <f t="shared" si="32"/>
        <v>48.282959403666212</v>
      </c>
      <c r="R65" s="11">
        <f t="shared" si="2"/>
        <v>0.68619767009180477</v>
      </c>
      <c r="S65" s="19">
        <f t="shared" si="3"/>
        <v>127.63276663707569</v>
      </c>
      <c r="T65" s="19">
        <f t="shared" si="4"/>
        <v>127.63276663707569</v>
      </c>
      <c r="U65" s="19">
        <f t="shared" si="5"/>
        <v>83.804000000000016</v>
      </c>
      <c r="AG65" s="80" t="s">
        <v>471</v>
      </c>
      <c r="AH65">
        <f>VLOOKUP(Pomery_vykonu!AH66,Vyber_typu!M10:Q50,5,FALSE)</f>
        <v>3.85</v>
      </c>
      <c r="AM65" s="80" t="s">
        <v>476</v>
      </c>
    </row>
    <row r="66" spans="1:40" x14ac:dyDescent="0.25">
      <c r="A66" t="s">
        <v>47</v>
      </c>
      <c r="B66">
        <f>B6</f>
        <v>13</v>
      </c>
      <c r="C66" t="s">
        <v>1</v>
      </c>
      <c r="D66">
        <f>L66-L65</f>
        <v>38.5</v>
      </c>
      <c r="E66" s="13">
        <f>D66/$D$67</f>
        <v>0.1711111111111111</v>
      </c>
      <c r="F66" t="s">
        <v>56</v>
      </c>
      <c r="H66" s="6">
        <f>B65</f>
        <v>9.5</v>
      </c>
      <c r="I66" s="6" t="s">
        <v>57</v>
      </c>
      <c r="J66" s="6">
        <f>B66</f>
        <v>13</v>
      </c>
      <c r="K66" t="s">
        <v>1</v>
      </c>
      <c r="L66">
        <f>VLOOKUP(B66,$O$6:$Q$606,2,TRUE)</f>
        <v>225</v>
      </c>
      <c r="N66" s="10">
        <v>30</v>
      </c>
      <c r="O66" s="17">
        <f t="shared" si="0"/>
        <v>-2.2151703222638961</v>
      </c>
      <c r="P66" s="17">
        <f t="shared" si="28"/>
        <v>30</v>
      </c>
      <c r="Q66" s="19">
        <f t="shared" si="32"/>
        <v>48.893393889252863</v>
      </c>
      <c r="R66" s="11">
        <f t="shared" si="2"/>
        <v>0.68436033297625465</v>
      </c>
      <c r="S66" s="19">
        <f t="shared" si="3"/>
        <v>127.29102193358337</v>
      </c>
      <c r="T66" s="19">
        <f t="shared" si="4"/>
        <v>127.29102193358337</v>
      </c>
      <c r="U66" s="19">
        <f t="shared" si="5"/>
        <v>83.804000000000016</v>
      </c>
      <c r="AG66" s="80" t="s">
        <v>472</v>
      </c>
      <c r="AH66">
        <v>20</v>
      </c>
      <c r="AI66" t="s">
        <v>1</v>
      </c>
      <c r="AJ66" s="63"/>
      <c r="AK66" s="82" t="s">
        <v>478</v>
      </c>
      <c r="AL66" s="82" t="s">
        <v>276</v>
      </c>
      <c r="AM66" s="64">
        <f>AH64+AL61+AL62</f>
        <v>117.32560000000001</v>
      </c>
      <c r="AN66" s="63" t="s">
        <v>114</v>
      </c>
    </row>
    <row r="67" spans="1:40" x14ac:dyDescent="0.25">
      <c r="D67">
        <f>SUM(D63:D66)</f>
        <v>225</v>
      </c>
      <c r="E67" s="13"/>
      <c r="F67" t="s">
        <v>59</v>
      </c>
      <c r="N67" s="10">
        <v>30.5</v>
      </c>
      <c r="O67" s="17">
        <f t="shared" si="0"/>
        <v>-2.158765827796536</v>
      </c>
      <c r="P67" s="17">
        <f t="shared" si="28"/>
        <v>30.5</v>
      </c>
      <c r="Q67" s="19">
        <f t="shared" si="32"/>
        <v>49.500780697454296</v>
      </c>
      <c r="R67" s="11">
        <f t="shared" si="2"/>
        <v>0.68254083315472691</v>
      </c>
      <c r="S67" s="19">
        <f t="shared" si="3"/>
        <v>126.9525949667792</v>
      </c>
      <c r="T67" s="19">
        <f t="shared" si="4"/>
        <v>126.9525949667792</v>
      </c>
      <c r="U67" s="19">
        <f t="shared" si="5"/>
        <v>83.804000000000016</v>
      </c>
      <c r="AG67" s="80" t="s">
        <v>473</v>
      </c>
      <c r="AH67" s="75">
        <f>AH64/AH65</f>
        <v>11.688727272727272</v>
      </c>
      <c r="AI67" t="s">
        <v>114</v>
      </c>
      <c r="AJ67" s="63"/>
      <c r="AK67" s="82" t="s">
        <v>479</v>
      </c>
      <c r="AL67" s="82" t="s">
        <v>477</v>
      </c>
      <c r="AM67" s="83">
        <f>AM66/AN54</f>
        <v>43.475896461256966</v>
      </c>
      <c r="AN67" s="63" t="s">
        <v>114</v>
      </c>
    </row>
    <row r="68" spans="1:40" x14ac:dyDescent="0.25">
      <c r="D68" s="6"/>
      <c r="N68" s="10">
        <v>31</v>
      </c>
      <c r="O68" s="17">
        <f t="shared" si="0"/>
        <v>-2.1028977946358136</v>
      </c>
      <c r="P68" s="17">
        <f t="shared" si="28"/>
        <v>31</v>
      </c>
      <c r="Q68" s="19">
        <f t="shared" si="32"/>
        <v>50.105189826956597</v>
      </c>
      <c r="R68" s="11">
        <f t="shared" si="2"/>
        <v>0.68073863853663918</v>
      </c>
      <c r="S68" s="19">
        <f t="shared" si="3"/>
        <v>126.61738676781489</v>
      </c>
      <c r="T68" s="19">
        <f t="shared" si="4"/>
        <v>126.61738676781489</v>
      </c>
      <c r="U68" s="19">
        <f t="shared" si="5"/>
        <v>83.804000000000016</v>
      </c>
    </row>
    <row r="69" spans="1:40" x14ac:dyDescent="0.25">
      <c r="A69" t="s">
        <v>46</v>
      </c>
      <c r="B69" t="s">
        <v>466</v>
      </c>
      <c r="D69" s="6" t="s">
        <v>55</v>
      </c>
      <c r="G69" t="s">
        <v>92</v>
      </c>
      <c r="H69" t="s">
        <v>91</v>
      </c>
      <c r="N69" s="10">
        <v>31.5</v>
      </c>
      <c r="O69" s="17">
        <f t="shared" si="0"/>
        <v>-2.0475504430526374</v>
      </c>
      <c r="P69" s="17">
        <f t="shared" si="28"/>
        <v>31.5</v>
      </c>
      <c r="Q69" s="19">
        <f t="shared" si="32"/>
        <v>50.706688976781848</v>
      </c>
      <c r="R69" s="11">
        <f t="shared" si="2"/>
        <v>0.67895324009847213</v>
      </c>
      <c r="S69" s="19">
        <f t="shared" si="3"/>
        <v>126.28530265831581</v>
      </c>
      <c r="T69" s="19">
        <f t="shared" si="4"/>
        <v>126.28530265831581</v>
      </c>
      <c r="U69" s="19">
        <f t="shared" si="5"/>
        <v>83.804000000000016</v>
      </c>
    </row>
    <row r="70" spans="1:40" x14ac:dyDescent="0.25">
      <c r="A70" t="s">
        <v>47</v>
      </c>
      <c r="B70">
        <f>B5</f>
        <v>-12</v>
      </c>
      <c r="C70" t="s">
        <v>1</v>
      </c>
      <c r="D70" s="6">
        <f>VLOOKUP(B71,$O$6:$Q$606,2,TRUE)</f>
        <v>16.5</v>
      </c>
      <c r="E70" s="15">
        <f>D70/$D$67</f>
        <v>7.3333333333333334E-2</v>
      </c>
      <c r="F70" s="8">
        <f>VLOOKUP(B70,$W$6:$X$41,2,TRUE)</f>
        <v>1</v>
      </c>
      <c r="G70" s="8">
        <f>AVERAGE(F70:F71)</f>
        <v>0.87096774193548387</v>
      </c>
      <c r="N70" s="10">
        <v>32</v>
      </c>
      <c r="O70" s="17">
        <f t="shared" ref="O70:O133" si="38">IF(N70=0,$B$5,IF(N70&gt;$B$9,NA(),-($B$6-$B$5)*(1-(N70/$B$9))^(0.985*((N70/$B$9)^(-0.625)))+$B$6))</f>
        <v>-1.9927086665847895</v>
      </c>
      <c r="P70" s="17">
        <f t="shared" si="28"/>
        <v>32</v>
      </c>
      <c r="Q70" s="19">
        <f t="shared" si="32"/>
        <v>51.305343650809348</v>
      </c>
      <c r="R70" s="11">
        <f t="shared" ref="R70:R133" si="39">$B$13*($B$8-O70)</f>
        <v>0.67718415053499315</v>
      </c>
      <c r="S70" s="19">
        <f t="shared" ref="S70:S133" si="40">R70*$B$20</f>
        <v>125.95625199950872</v>
      </c>
      <c r="T70" s="19">
        <f t="shared" ref="T70:T133" si="41">R70*$B$20</f>
        <v>125.95625199950872</v>
      </c>
      <c r="U70" s="19">
        <f t="shared" ref="U70:U133" si="42">$B$21/2</f>
        <v>83.804000000000016</v>
      </c>
    </row>
    <row r="71" spans="1:40" x14ac:dyDescent="0.25">
      <c r="A71" t="s">
        <v>48</v>
      </c>
      <c r="B71" s="21">
        <f>VLOOKUP(0,$AK$6:$AM$41,3,FALSE)</f>
        <v>-4</v>
      </c>
      <c r="C71" t="s">
        <v>1</v>
      </c>
      <c r="F71" s="8">
        <f>VLOOKUP(B71,$W$6:$X$41,2,TRUE)</f>
        <v>0.74193548387096775</v>
      </c>
      <c r="H71" s="28" t="s">
        <v>158</v>
      </c>
      <c r="I71" s="6"/>
      <c r="J71" s="6"/>
      <c r="N71" s="10">
        <v>32.5</v>
      </c>
      <c r="O71" s="17">
        <f t="shared" si="38"/>
        <v>-1.9383579932735682</v>
      </c>
      <c r="P71" s="17">
        <f t="shared" ref="P71:P134" si="43">N71</f>
        <v>32.5</v>
      </c>
      <c r="Q71" s="19">
        <f t="shared" si="32"/>
        <v>51.901217256300384</v>
      </c>
      <c r="R71" s="11">
        <f t="shared" si="39"/>
        <v>0.6754309030088248</v>
      </c>
      <c r="S71" s="19">
        <f t="shared" si="40"/>
        <v>125.63014795964142</v>
      </c>
      <c r="T71" s="19">
        <f t="shared" si="41"/>
        <v>125.63014795964142</v>
      </c>
      <c r="U71" s="19">
        <f t="shared" si="42"/>
        <v>83.804000000000016</v>
      </c>
    </row>
    <row r="72" spans="1:40" x14ac:dyDescent="0.25">
      <c r="A72" t="s">
        <v>47</v>
      </c>
      <c r="B72">
        <f>B6</f>
        <v>13</v>
      </c>
      <c r="C72" t="s">
        <v>1</v>
      </c>
      <c r="D72" s="6">
        <f>VLOOKUP(B72,$O$6:$Q$606,2,TRUE)-VLOOKUP(B71,$O$6:$Q$606,2,TRUE)</f>
        <v>208.5</v>
      </c>
      <c r="E72" s="15">
        <f>D72/$D$67</f>
        <v>0.92666666666666664</v>
      </c>
      <c r="F72" s="8">
        <f>VLOOKUP(B72,$W$6:$X$41,2,TRUE)</f>
        <v>0.19354838709677419</v>
      </c>
      <c r="G72" s="8">
        <f>AVERAGE(F71:F72)</f>
        <v>0.467741935483871</v>
      </c>
      <c r="H72" s="6"/>
      <c r="I72" s="6"/>
      <c r="J72" s="6"/>
      <c r="N72" s="10">
        <v>33</v>
      </c>
      <c r="O72" s="17">
        <f t="shared" si="38"/>
        <v>-1.8844845496838101</v>
      </c>
      <c r="P72" s="17">
        <f t="shared" si="43"/>
        <v>33</v>
      </c>
      <c r="Q72" s="19">
        <f t="shared" si="32"/>
        <v>52.494371196838657</v>
      </c>
      <c r="R72" s="11">
        <f t="shared" si="39"/>
        <v>0.6736930499898004</v>
      </c>
      <c r="S72" s="19">
        <f t="shared" si="40"/>
        <v>125.30690729810287</v>
      </c>
      <c r="T72" s="19">
        <f t="shared" si="41"/>
        <v>125.30690729810287</v>
      </c>
      <c r="U72" s="19">
        <f t="shared" si="42"/>
        <v>83.804000000000016</v>
      </c>
    </row>
    <row r="73" spans="1:40" x14ac:dyDescent="0.25">
      <c r="D73" s="6">
        <f>SUM(D70:D72)</f>
        <v>225</v>
      </c>
      <c r="E73" t="s">
        <v>59</v>
      </c>
      <c r="N73" s="10">
        <v>33.5</v>
      </c>
      <c r="O73" s="17">
        <f t="shared" si="38"/>
        <v>-1.8310750274688772</v>
      </c>
      <c r="P73" s="17">
        <f t="shared" si="43"/>
        <v>33.5</v>
      </c>
      <c r="Q73" s="19">
        <f t="shared" si="32"/>
        <v>53.084864960063484</v>
      </c>
      <c r="R73" s="11">
        <f t="shared" si="39"/>
        <v>0.67197016217641536</v>
      </c>
      <c r="S73" s="19">
        <f t="shared" si="40"/>
        <v>124.98645016481326</v>
      </c>
      <c r="T73" s="19">
        <f t="shared" si="41"/>
        <v>124.98645016481326</v>
      </c>
      <c r="U73" s="19">
        <f t="shared" si="42"/>
        <v>83.804000000000016</v>
      </c>
    </row>
    <row r="74" spans="1:40" x14ac:dyDescent="0.25">
      <c r="A74" t="s">
        <v>93</v>
      </c>
      <c r="B74">
        <v>0.85</v>
      </c>
      <c r="C74" t="s">
        <v>98</v>
      </c>
      <c r="N74" s="10">
        <v>34</v>
      </c>
      <c r="O74" s="17">
        <f t="shared" si="38"/>
        <v>-1.778116652265469</v>
      </c>
      <c r="P74" s="17">
        <f t="shared" si="43"/>
        <v>34</v>
      </c>
      <c r="Q74" s="19">
        <f t="shared" si="32"/>
        <v>53.672756200547944</v>
      </c>
      <c r="R74" s="11">
        <f t="shared" si="39"/>
        <v>0.67026182749243446</v>
      </c>
      <c r="S74" s="19">
        <f t="shared" si="40"/>
        <v>124.6686999135928</v>
      </c>
      <c r="T74" s="19">
        <f t="shared" si="41"/>
        <v>124.6686999135928</v>
      </c>
      <c r="U74" s="19">
        <f t="shared" si="42"/>
        <v>83.804000000000016</v>
      </c>
    </row>
    <row r="75" spans="1:40" x14ac:dyDescent="0.25">
      <c r="A75" t="s">
        <v>94</v>
      </c>
      <c r="B75">
        <v>0.9</v>
      </c>
      <c r="C75" t="s">
        <v>99</v>
      </c>
      <c r="N75" s="10">
        <v>34.5</v>
      </c>
      <c r="O75" s="17">
        <f t="shared" si="38"/>
        <v>-1.7255971547247242</v>
      </c>
      <c r="P75" s="17">
        <f t="shared" si="43"/>
        <v>34.5</v>
      </c>
      <c r="Q75" s="19">
        <f t="shared" si="32"/>
        <v>54.258100818140079</v>
      </c>
      <c r="R75" s="11">
        <f t="shared" si="39"/>
        <v>0.66856765015241049</v>
      </c>
      <c r="S75" s="19">
        <f t="shared" si="40"/>
        <v>124.35358292834835</v>
      </c>
      <c r="T75" s="19">
        <f t="shared" si="41"/>
        <v>124.35358292834835</v>
      </c>
      <c r="U75" s="19">
        <f t="shared" si="42"/>
        <v>83.804000000000016</v>
      </c>
    </row>
    <row r="76" spans="1:40" x14ac:dyDescent="0.25">
      <c r="A76" t="s">
        <v>95</v>
      </c>
      <c r="B76">
        <v>1</v>
      </c>
      <c r="C76" t="s">
        <v>100</v>
      </c>
      <c r="N76" s="10">
        <v>35</v>
      </c>
      <c r="O76" s="17">
        <f t="shared" si="38"/>
        <v>-1.6735047435040737</v>
      </c>
      <c r="P76" s="17">
        <f t="shared" si="43"/>
        <v>35</v>
      </c>
      <c r="Q76" s="19">
        <f t="shared" si="32"/>
        <v>54.840953032068796</v>
      </c>
      <c r="R76" s="11">
        <f t="shared" si="39"/>
        <v>0.666887249790454</v>
      </c>
      <c r="S76" s="19">
        <f t="shared" si="40"/>
        <v>124.04102846102444</v>
      </c>
      <c r="T76" s="19">
        <f t="shared" si="41"/>
        <v>124.04102846102444</v>
      </c>
      <c r="U76" s="19">
        <f t="shared" si="42"/>
        <v>83.804000000000016</v>
      </c>
    </row>
    <row r="77" spans="1:40" x14ac:dyDescent="0.25">
      <c r="A77" t="s">
        <v>96</v>
      </c>
      <c r="B77">
        <v>0.95</v>
      </c>
      <c r="C77" t="s">
        <v>101</v>
      </c>
      <c r="N77" s="10">
        <v>35.5</v>
      </c>
      <c r="O77" s="17">
        <f t="shared" si="38"/>
        <v>-1.6218280800615421</v>
      </c>
      <c r="P77" s="17">
        <f t="shared" si="43"/>
        <v>35.5</v>
      </c>
      <c r="Q77" s="19">
        <f t="shared" si="32"/>
        <v>55.421365451086487</v>
      </c>
      <c r="R77" s="11">
        <f t="shared" si="39"/>
        <v>0.66522026064714646</v>
      </c>
      <c r="S77" s="19">
        <f t="shared" si="40"/>
        <v>123.73096848036924</v>
      </c>
      <c r="T77" s="19">
        <f t="shared" si="41"/>
        <v>123.73096848036924</v>
      </c>
      <c r="U77" s="19">
        <f t="shared" si="42"/>
        <v>83.804000000000016</v>
      </c>
    </row>
    <row r="78" spans="1:40" x14ac:dyDescent="0.25">
      <c r="A78" t="s">
        <v>97</v>
      </c>
      <c r="B78">
        <v>0.95</v>
      </c>
      <c r="C78" t="s">
        <v>102</v>
      </c>
      <c r="N78" s="10">
        <v>36</v>
      </c>
      <c r="O78" s="17">
        <f t="shared" si="38"/>
        <v>-1.5705562551086327</v>
      </c>
      <c r="P78" s="17">
        <f t="shared" si="43"/>
        <v>36</v>
      </c>
      <c r="Q78" s="19">
        <f t="shared" si="32"/>
        <v>55.999389139904622</v>
      </c>
      <c r="R78" s="11">
        <f t="shared" si="39"/>
        <v>0.66356633080995597</v>
      </c>
      <c r="S78" s="19">
        <f t="shared" si="40"/>
        <v>123.42333753065181</v>
      </c>
      <c r="T78" s="19">
        <f t="shared" si="41"/>
        <v>123.42333753065181</v>
      </c>
      <c r="U78" s="19">
        <f t="shared" si="42"/>
        <v>83.804000000000016</v>
      </c>
    </row>
    <row r="79" spans="1:40" x14ac:dyDescent="0.25">
      <c r="A79" t="s">
        <v>103</v>
      </c>
      <c r="B79">
        <f>B74*B75*B76</f>
        <v>0.76500000000000001</v>
      </c>
      <c r="N79" s="10">
        <v>36.5</v>
      </c>
      <c r="O79" s="17">
        <f t="shared" si="38"/>
        <v>-1.519678766591495</v>
      </c>
      <c r="P79" s="17">
        <f t="shared" si="43"/>
        <v>36.5</v>
      </c>
      <c r="Q79" s="19">
        <f t="shared" si="32"/>
        <v>56.5750736821564</v>
      </c>
      <c r="R79" s="11">
        <f t="shared" si="39"/>
        <v>0.66192512150295146</v>
      </c>
      <c r="S79" s="19">
        <f t="shared" si="40"/>
        <v>123.11807259954897</v>
      </c>
      <c r="T79" s="19">
        <f t="shared" si="41"/>
        <v>123.11807259954897</v>
      </c>
      <c r="U79" s="19">
        <f t="shared" si="42"/>
        <v>83.804000000000016</v>
      </c>
    </row>
    <row r="80" spans="1:40" x14ac:dyDescent="0.25">
      <c r="A80" t="s">
        <v>104</v>
      </c>
      <c r="B80">
        <f>B79/(B77*B78)</f>
        <v>0.8476454293628809</v>
      </c>
      <c r="N80" s="10">
        <v>37</v>
      </c>
      <c r="O80" s="17">
        <f t="shared" si="38"/>
        <v>-1.4691854990817248</v>
      </c>
      <c r="P80" s="17">
        <f t="shared" si="43"/>
        <v>37</v>
      </c>
      <c r="Q80" s="19">
        <f t="shared" si="32"/>
        <v>57.148467240105752</v>
      </c>
      <c r="R80" s="11">
        <f t="shared" si="39"/>
        <v>0.66029630642199111</v>
      </c>
      <c r="S80" s="19">
        <f t="shared" si="40"/>
        <v>122.81511299449035</v>
      </c>
      <c r="T80" s="19">
        <f t="shared" si="41"/>
        <v>122.81511299449035</v>
      </c>
      <c r="U80" s="19">
        <f t="shared" si="42"/>
        <v>83.804000000000016</v>
      </c>
    </row>
    <row r="81" spans="14:21" x14ac:dyDescent="0.25">
      <c r="N81" s="10">
        <v>37.5</v>
      </c>
      <c r="O81" s="17">
        <f t="shared" si="38"/>
        <v>-1.4190667044689782</v>
      </c>
      <c r="P81" s="17">
        <f t="shared" si="43"/>
        <v>37.5</v>
      </c>
      <c r="Q81" s="19">
        <f t="shared" si="32"/>
        <v>57.719616611304396</v>
      </c>
      <c r="R81" s="11">
        <f t="shared" si="39"/>
        <v>0.65867957111190245</v>
      </c>
      <c r="S81" s="19">
        <f t="shared" si="40"/>
        <v>122.51440022681386</v>
      </c>
      <c r="T81" s="19">
        <f t="shared" si="41"/>
        <v>122.51440022681386</v>
      </c>
      <c r="U81" s="19">
        <f t="shared" si="42"/>
        <v>83.804000000000016</v>
      </c>
    </row>
    <row r="82" spans="14:21" x14ac:dyDescent="0.25">
      <c r="N82" s="10">
        <v>38</v>
      </c>
      <c r="O82" s="17">
        <f t="shared" si="38"/>
        <v>-1.3693129838571103</v>
      </c>
      <c r="P82" s="17">
        <f t="shared" si="43"/>
        <v>38</v>
      </c>
      <c r="Q82" s="19">
        <f t="shared" si="32"/>
        <v>58.288567282384236</v>
      </c>
      <c r="R82" s="11">
        <f t="shared" si="39"/>
        <v>0.65707461238248743</v>
      </c>
      <c r="S82" s="19">
        <f t="shared" si="40"/>
        <v>122.21587790314267</v>
      </c>
      <c r="T82" s="19">
        <f t="shared" si="41"/>
        <v>122.21587790314267</v>
      </c>
      <c r="U82" s="19">
        <f t="shared" si="42"/>
        <v>83.804000000000016</v>
      </c>
    </row>
    <row r="83" spans="14:21" x14ac:dyDescent="0.25">
      <c r="N83" s="10">
        <v>38.5</v>
      </c>
      <c r="O83" s="17">
        <f t="shared" si="38"/>
        <v>-1.3199152705740325</v>
      </c>
      <c r="P83" s="17">
        <f t="shared" si="43"/>
        <v>38.5</v>
      </c>
      <c r="Q83" s="19">
        <f t="shared" si="32"/>
        <v>58.855363480160605</v>
      </c>
      <c r="R83" s="11">
        <f t="shared" si="39"/>
        <v>0.65548113776045269</v>
      </c>
      <c r="S83" s="19">
        <f t="shared" si="40"/>
        <v>121.9194916234442</v>
      </c>
      <c r="T83" s="19">
        <f t="shared" si="41"/>
        <v>121.9194916234442</v>
      </c>
      <c r="U83" s="19">
        <f t="shared" si="42"/>
        <v>83.804000000000016</v>
      </c>
    </row>
    <row r="84" spans="14:21" x14ac:dyDescent="0.25">
      <c r="N84" s="10">
        <v>39</v>
      </c>
      <c r="O84" s="17">
        <f t="shared" si="38"/>
        <v>-1.2708648142134518</v>
      </c>
      <c r="P84" s="17">
        <f t="shared" si="43"/>
        <v>39</v>
      </c>
      <c r="Q84" s="19">
        <f t="shared" si="32"/>
        <v>59.420048220207065</v>
      </c>
      <c r="R84" s="11">
        <f t="shared" si="39"/>
        <v>0.65389886497462757</v>
      </c>
      <c r="S84" s="19">
        <f t="shared" si="40"/>
        <v>121.62518888528072</v>
      </c>
      <c r="T84" s="19">
        <f t="shared" si="41"/>
        <v>121.62518888528072</v>
      </c>
      <c r="U84" s="19">
        <f t="shared" si="42"/>
        <v>83.804000000000016</v>
      </c>
    </row>
    <row r="85" spans="14:21" x14ac:dyDescent="0.25">
      <c r="N85" s="10">
        <v>39.5</v>
      </c>
      <c r="O85" s="17">
        <f t="shared" si="38"/>
        <v>-1.222153165633463</v>
      </c>
      <c r="P85" s="17">
        <f t="shared" si="43"/>
        <v>39.5</v>
      </c>
      <c r="Q85" s="19">
        <f t="shared" si="32"/>
        <v>59.982663353053212</v>
      </c>
      <c r="R85" s="11">
        <f t="shared" si="39"/>
        <v>0.6523275214720472</v>
      </c>
      <c r="S85" s="19">
        <f t="shared" si="40"/>
        <v>121.33291899380077</v>
      </c>
      <c r="T85" s="19">
        <f t="shared" si="41"/>
        <v>121.33291899380077</v>
      </c>
      <c r="U85" s="19">
        <f t="shared" si="42"/>
        <v>83.804000000000016</v>
      </c>
    </row>
    <row r="86" spans="14:21" x14ac:dyDescent="0.25">
      <c r="N86" s="10">
        <v>40</v>
      </c>
      <c r="O86" s="17">
        <f t="shared" si="38"/>
        <v>-1.1737721628433864</v>
      </c>
      <c r="P86" s="17">
        <f t="shared" si="43"/>
        <v>40</v>
      </c>
      <c r="Q86" s="19">
        <f t="shared" si="32"/>
        <v>60.543249608145274</v>
      </c>
      <c r="R86" s="11">
        <f t="shared" si="39"/>
        <v>0.6507668439626898</v>
      </c>
      <c r="S86" s="19">
        <f t="shared" si="40"/>
        <v>121.04263297706031</v>
      </c>
      <c r="T86" s="19">
        <f t="shared" si="41"/>
        <v>121.04263297706031</v>
      </c>
      <c r="U86" s="19">
        <f t="shared" si="42"/>
        <v>83.804000000000016</v>
      </c>
    </row>
    <row r="87" spans="14:21" x14ac:dyDescent="0.25">
      <c r="N87" s="10">
        <v>40.5</v>
      </c>
      <c r="O87" s="17">
        <f t="shared" si="38"/>
        <v>-1.1257139177159132</v>
      </c>
      <c r="P87" s="17">
        <f t="shared" si="43"/>
        <v>40.5</v>
      </c>
      <c r="Q87" s="19">
        <f t="shared" si="32"/>
        <v>61.101846635700241</v>
      </c>
      <c r="R87" s="11">
        <f t="shared" si="39"/>
        <v>0.64921657799083587</v>
      </c>
      <c r="S87" s="19">
        <f t="shared" si="40"/>
        <v>120.75428350629548</v>
      </c>
      <c r="T87" s="19">
        <f t="shared" si="41"/>
        <v>120.75428350629548</v>
      </c>
      <c r="U87" s="19">
        <f t="shared" si="42"/>
        <v>83.804000000000016</v>
      </c>
    </row>
    <row r="88" spans="14:21" x14ac:dyDescent="0.25">
      <c r="N88" s="10">
        <v>41</v>
      </c>
      <c r="O88" s="17">
        <f t="shared" si="38"/>
        <v>-1.0779708034667514</v>
      </c>
      <c r="P88" s="17">
        <f t="shared" si="43"/>
        <v>41</v>
      </c>
      <c r="Q88" s="19">
        <f t="shared" si="32"/>
        <v>61.658493046575856</v>
      </c>
      <c r="R88" s="11">
        <f t="shared" si="39"/>
        <v>0.64767647753118551</v>
      </c>
      <c r="S88" s="19">
        <f t="shared" si="40"/>
        <v>120.4678248208005</v>
      </c>
      <c r="T88" s="19">
        <f t="shared" si="41"/>
        <v>120.4678248208005</v>
      </c>
      <c r="U88" s="19">
        <f t="shared" si="42"/>
        <v>83.804000000000016</v>
      </c>
    </row>
    <row r="89" spans="14:21" x14ac:dyDescent="0.25">
      <c r="N89" s="10">
        <v>41.5</v>
      </c>
      <c r="O89" s="17">
        <f t="shared" si="38"/>
        <v>-1.0305354428488904</v>
      </c>
      <c r="P89" s="17">
        <f t="shared" si="43"/>
        <v>41.5</v>
      </c>
      <c r="Q89" s="19">
        <f t="shared" si="32"/>
        <v>62.213226450267811</v>
      </c>
      <c r="R89" s="11">
        <f t="shared" si="39"/>
        <v>0.64614630460802869</v>
      </c>
      <c r="S89" s="19">
        <f t="shared" si="40"/>
        <v>120.18321265709334</v>
      </c>
      <c r="T89" s="19">
        <f t="shared" si="41"/>
        <v>120.18321265709334</v>
      </c>
      <c r="U89" s="19">
        <f t="shared" si="42"/>
        <v>83.804000000000016</v>
      </c>
    </row>
    <row r="90" spans="14:21" x14ac:dyDescent="0.25">
      <c r="N90" s="10">
        <v>42</v>
      </c>
      <c r="O90" s="17">
        <f t="shared" si="38"/>
        <v>-0.98340069701233901</v>
      </c>
      <c r="P90" s="17">
        <f t="shared" si="43"/>
        <v>42</v>
      </c>
      <c r="Q90" s="19">
        <f t="shared" si="32"/>
        <v>62.766083491144002</v>
      </c>
      <c r="R90" s="11">
        <f t="shared" si="39"/>
        <v>0.64462582893588194</v>
      </c>
      <c r="S90" s="19">
        <f t="shared" si="40"/>
        <v>119.90040418207404</v>
      </c>
      <c r="T90" s="19">
        <f t="shared" si="41"/>
        <v>119.90040418207404</v>
      </c>
      <c r="U90" s="19">
        <f t="shared" si="42"/>
        <v>83.804000000000016</v>
      </c>
    </row>
    <row r="91" spans="14:21" x14ac:dyDescent="0.25">
      <c r="N91" s="10">
        <v>42.5</v>
      </c>
      <c r="O91" s="17">
        <f t="shared" si="38"/>
        <v>-0.93655965498479254</v>
      </c>
      <c r="P91" s="17">
        <f t="shared" si="43"/>
        <v>42.5</v>
      </c>
      <c r="Q91" s="19">
        <f t="shared" si="32"/>
        <v>63.317099883010407</v>
      </c>
      <c r="R91" s="11">
        <f t="shared" si="39"/>
        <v>0.64311482758015448</v>
      </c>
      <c r="S91" s="19">
        <f t="shared" si="40"/>
        <v>119.61935792990873</v>
      </c>
      <c r="T91" s="19">
        <f t="shared" si="41"/>
        <v>119.61935792990873</v>
      </c>
      <c r="U91" s="19">
        <f t="shared" si="42"/>
        <v>83.804000000000016</v>
      </c>
    </row>
    <row r="92" spans="14:21" x14ac:dyDescent="0.25">
      <c r="N92" s="10">
        <v>43</v>
      </c>
      <c r="O92" s="17">
        <f t="shared" si="38"/>
        <v>-0.89000562373152192</v>
      </c>
      <c r="P92" s="17">
        <f t="shared" si="43"/>
        <v>43</v>
      </c>
      <c r="Q92" s="19">
        <f t="shared" si="32"/>
        <v>63.86631044210425</v>
      </c>
      <c r="R92" s="11">
        <f t="shared" si="39"/>
        <v>0.64161308463650069</v>
      </c>
      <c r="S92" s="19">
        <f t="shared" si="40"/>
        <v>119.34003374238912</v>
      </c>
      <c r="T92" s="19">
        <f t="shared" si="41"/>
        <v>119.34003374238912</v>
      </c>
      <c r="U92" s="19">
        <f t="shared" si="42"/>
        <v>83.804000000000016</v>
      </c>
    </row>
    <row r="93" spans="14:21" x14ac:dyDescent="0.25">
      <c r="N93" s="10">
        <v>43.5</v>
      </c>
      <c r="O93" s="17">
        <f t="shared" si="38"/>
        <v>-0.84373211875637111</v>
      </c>
      <c r="P93" s="17">
        <f t="shared" si="43"/>
        <v>43.5</v>
      </c>
      <c r="Q93" s="19">
        <f t="shared" si="32"/>
        <v>64.413749118600037</v>
      </c>
      <c r="R93" s="11">
        <f t="shared" si="39"/>
        <v>0.64012039092762485</v>
      </c>
      <c r="S93" s="19">
        <f t="shared" si="40"/>
        <v>119.06239271253823</v>
      </c>
      <c r="T93" s="19">
        <f t="shared" si="41"/>
        <v>119.06239271253823</v>
      </c>
      <c r="U93" s="19">
        <f t="shared" si="42"/>
        <v>83.804000000000016</v>
      </c>
    </row>
    <row r="94" spans="14:21" x14ac:dyDescent="0.25">
      <c r="N94" s="10">
        <v>44</v>
      </c>
      <c r="O94" s="17">
        <f t="shared" si="38"/>
        <v>-0.79773285520865045</v>
      </c>
      <c r="P94" s="17">
        <f t="shared" si="43"/>
        <v>44</v>
      </c>
      <c r="Q94" s="19">
        <f t="shared" si="32"/>
        <v>64.959449026708484</v>
      </c>
      <c r="R94" s="11">
        <f t="shared" si="39"/>
        <v>0.6386365437164081</v>
      </c>
      <c r="S94" s="19">
        <f t="shared" si="40"/>
        <v>118.7863971312519</v>
      </c>
      <c r="T94" s="19">
        <f t="shared" si="41"/>
        <v>118.7863971312519</v>
      </c>
      <c r="U94" s="19">
        <f t="shared" si="42"/>
        <v>83.804000000000016</v>
      </c>
    </row>
    <row r="95" spans="14:21" x14ac:dyDescent="0.25">
      <c r="N95" s="10">
        <v>44.5</v>
      </c>
      <c r="O95" s="17">
        <f t="shared" si="38"/>
        <v>-0.75200173946315374</v>
      </c>
      <c r="P95" s="17">
        <f t="shared" si="43"/>
        <v>44.5</v>
      </c>
      <c r="Q95" s="19">
        <f t="shared" ref="Q95:Q158" si="44" xml:space="preserve"> -0.0232*O95^3 + 0.296*O95^2 + 12.396*O95 + 74.648</f>
        <v>65.503442473446228</v>
      </c>
      <c r="R95" s="11">
        <f t="shared" si="39"/>
        <v>0.63716134643429523</v>
      </c>
      <c r="S95" s="19">
        <f t="shared" si="40"/>
        <v>118.51201043677891</v>
      </c>
      <c r="T95" s="19">
        <f t="shared" si="41"/>
        <v>118.51201043677891</v>
      </c>
      <c r="U95" s="19">
        <f t="shared" si="42"/>
        <v>83.804000000000016</v>
      </c>
    </row>
    <row r="96" spans="14:21" x14ac:dyDescent="0.25">
      <c r="N96" s="10">
        <v>45</v>
      </c>
      <c r="O96" s="17">
        <f t="shared" si="38"/>
        <v>-0.70653286114335323</v>
      </c>
      <c r="P96" s="17">
        <f t="shared" si="43"/>
        <v>45</v>
      </c>
      <c r="Q96" s="19">
        <f t="shared" si="44"/>
        <v>66.045760986144515</v>
      </c>
      <c r="R96" s="11">
        <f t="shared" si="39"/>
        <v>0.63569460842397907</v>
      </c>
      <c r="S96" s="19">
        <f t="shared" si="40"/>
        <v>118.23919716686011</v>
      </c>
      <c r="T96" s="19">
        <f t="shared" si="41"/>
        <v>118.23919716686011</v>
      </c>
      <c r="U96" s="19">
        <f t="shared" si="42"/>
        <v>83.804000000000016</v>
      </c>
    </row>
    <row r="97" spans="14:21" x14ac:dyDescent="0.25">
      <c r="N97" s="10">
        <v>45.5</v>
      </c>
      <c r="O97" s="17">
        <f t="shared" si="38"/>
        <v>-0.66132048555954981</v>
      </c>
      <c r="P97" s="17">
        <f t="shared" si="43"/>
        <v>45.5</v>
      </c>
      <c r="Q97" s="19">
        <f t="shared" si="44"/>
        <v>66.586435338767032</v>
      </c>
      <c r="R97" s="11">
        <f t="shared" si="39"/>
        <v>0.63423614469546929</v>
      </c>
      <c r="S97" s="19">
        <f t="shared" si="40"/>
        <v>117.96792291335728</v>
      </c>
      <c r="T97" s="19">
        <f t="shared" si="41"/>
        <v>117.96792291335728</v>
      </c>
      <c r="U97" s="19">
        <f t="shared" si="42"/>
        <v>83.804000000000016</v>
      </c>
    </row>
    <row r="98" spans="14:21" x14ac:dyDescent="0.25">
      <c r="N98" s="10">
        <v>46</v>
      </c>
      <c r="O98" s="17">
        <f t="shared" si="38"/>
        <v>-0.61635904653641305</v>
      </c>
      <c r="P98" s="17">
        <f t="shared" si="43"/>
        <v>46</v>
      </c>
      <c r="Q98" s="19">
        <f t="shared" si="44"/>
        <v>67.125495577095549</v>
      </c>
      <c r="R98" s="11">
        <f t="shared" si="39"/>
        <v>0.63278577569472294</v>
      </c>
      <c r="S98" s="19">
        <f t="shared" si="40"/>
        <v>117.69815427921847</v>
      </c>
      <c r="T98" s="19">
        <f t="shared" si="41"/>
        <v>117.69815427921847</v>
      </c>
      <c r="U98" s="19">
        <f t="shared" si="42"/>
        <v>83.804000000000016</v>
      </c>
    </row>
    <row r="99" spans="14:21" x14ac:dyDescent="0.25">
      <c r="N99" s="10">
        <v>46.5</v>
      </c>
      <c r="O99" s="17">
        <f t="shared" si="38"/>
        <v>-0.57164313960560698</v>
      </c>
      <c r="P99" s="17">
        <f t="shared" si="43"/>
        <v>46.5</v>
      </c>
      <c r="Q99" s="19">
        <f t="shared" si="44"/>
        <v>67.662971042845399</v>
      </c>
      <c r="R99" s="11">
        <f t="shared" si="39"/>
        <v>0.63134332708405172</v>
      </c>
      <c r="S99" s="19">
        <f t="shared" si="40"/>
        <v>117.42985883763362</v>
      </c>
      <c r="T99" s="19">
        <f t="shared" si="41"/>
        <v>117.42985883763362</v>
      </c>
      <c r="U99" s="19">
        <f t="shared" si="42"/>
        <v>83.804000000000016</v>
      </c>
    </row>
    <row r="100" spans="14:21" x14ac:dyDescent="0.25">
      <c r="N100" s="10">
        <v>47</v>
      </c>
      <c r="O100" s="17">
        <f t="shared" si="38"/>
        <v>-0.52716751554139663</v>
      </c>
      <c r="P100" s="17">
        <f t="shared" si="43"/>
        <v>47</v>
      </c>
      <c r="Q100" s="19">
        <f t="shared" si="44"/>
        <v>68.198890396763773</v>
      </c>
      <c r="R100" s="11">
        <f t="shared" si="39"/>
        <v>0.62990862953359339</v>
      </c>
      <c r="S100" s="19">
        <f t="shared" si="40"/>
        <v>117.16300509324837</v>
      </c>
      <c r="T100" s="19">
        <f t="shared" si="41"/>
        <v>117.16300509324837</v>
      </c>
      <c r="U100" s="19">
        <f t="shared" si="42"/>
        <v>83.804000000000016</v>
      </c>
    </row>
    <row r="101" spans="14:21" x14ac:dyDescent="0.25">
      <c r="N101" s="10">
        <v>47.5</v>
      </c>
      <c r="O101" s="17">
        <f t="shared" si="38"/>
        <v>-0.4829270742184395</v>
      </c>
      <c r="P101" s="17">
        <f t="shared" si="43"/>
        <v>47.5</v>
      </c>
      <c r="Q101" s="19">
        <f t="shared" si="44"/>
        <v>68.733281640763622</v>
      </c>
      <c r="R101" s="11">
        <f t="shared" si="39"/>
        <v>0.62848151852317535</v>
      </c>
      <c r="S101" s="19">
        <f t="shared" si="40"/>
        <v>116.89756244531061</v>
      </c>
      <c r="T101" s="19">
        <f t="shared" si="41"/>
        <v>116.89756244531061</v>
      </c>
      <c r="U101" s="19">
        <f t="shared" si="42"/>
        <v>83.804000000000016</v>
      </c>
    </row>
    <row r="102" spans="14:21" x14ac:dyDescent="0.25">
      <c r="N102" s="10">
        <v>48</v>
      </c>
      <c r="O102" s="17">
        <f t="shared" si="38"/>
        <v>-0.43891685877254893</v>
      </c>
      <c r="P102" s="17">
        <f t="shared" si="43"/>
        <v>48</v>
      </c>
      <c r="Q102" s="19">
        <f t="shared" si="44"/>
        <v>69.266172139141233</v>
      </c>
      <c r="R102" s="11">
        <f t="shared" si="39"/>
        <v>0.62706183415395322</v>
      </c>
      <c r="S102" s="19">
        <f t="shared" si="40"/>
        <v>116.6335011526353</v>
      </c>
      <c r="T102" s="19">
        <f t="shared" si="41"/>
        <v>116.6335011526353</v>
      </c>
      <c r="U102" s="19">
        <f t="shared" si="42"/>
        <v>83.804000000000016</v>
      </c>
    </row>
    <row r="103" spans="14:21" x14ac:dyDescent="0.25">
      <c r="N103" s="10">
        <v>48.5</v>
      </c>
      <c r="O103" s="17">
        <f t="shared" si="38"/>
        <v>-0.39513205004644014</v>
      </c>
      <c r="P103" s="17">
        <f t="shared" si="43"/>
        <v>48.5</v>
      </c>
      <c r="Q103" s="19">
        <f t="shared" si="44"/>
        <v>69.797588638924381</v>
      </c>
      <c r="R103" s="11">
        <f t="shared" si="39"/>
        <v>0.62564942096924003</v>
      </c>
      <c r="S103" s="19">
        <f t="shared" si="40"/>
        <v>116.37079230027865</v>
      </c>
      <c r="T103" s="19">
        <f t="shared" si="41"/>
        <v>116.37079230027865</v>
      </c>
      <c r="U103" s="19">
        <f t="shared" si="42"/>
        <v>83.804000000000016</v>
      </c>
    </row>
    <row r="104" spans="14:21" x14ac:dyDescent="0.25">
      <c r="N104" s="10">
        <v>49</v>
      </c>
      <c r="O104" s="17">
        <f t="shared" si="38"/>
        <v>-0.35156796130386958</v>
      </c>
      <c r="P104" s="17">
        <f t="shared" si="43"/>
        <v>49</v>
      </c>
      <c r="Q104" s="19">
        <f t="shared" si="44"/>
        <v>70.327557289392814</v>
      </c>
      <c r="R104" s="11">
        <f t="shared" si="39"/>
        <v>0.62424412778399585</v>
      </c>
      <c r="S104" s="19">
        <f t="shared" si="40"/>
        <v>116.10940776782323</v>
      </c>
      <c r="T104" s="19">
        <f t="shared" si="41"/>
        <v>116.10940776782323</v>
      </c>
      <c r="U104" s="19">
        <f t="shared" si="42"/>
        <v>83.804000000000016</v>
      </c>
    </row>
    <row r="105" spans="14:21" x14ac:dyDescent="0.25">
      <c r="N105" s="10">
        <v>49.5</v>
      </c>
      <c r="O105" s="17">
        <f t="shared" si="38"/>
        <v>-0.30822003319653213</v>
      </c>
      <c r="P105" s="17">
        <f t="shared" si="43"/>
        <v>49.5</v>
      </c>
      <c r="Q105" s="19">
        <f t="shared" si="44"/>
        <v>70.856103660812678</v>
      </c>
      <c r="R105" s="11">
        <f t="shared" si="39"/>
        <v>0.62284580752246876</v>
      </c>
      <c r="S105" s="19">
        <f t="shared" si="40"/>
        <v>115.84932019917919</v>
      </c>
      <c r="T105" s="19">
        <f t="shared" si="41"/>
        <v>115.84932019917919</v>
      </c>
      <c r="U105" s="19">
        <f t="shared" si="42"/>
        <v>83.804000000000016</v>
      </c>
    </row>
    <row r="106" spans="14:21" x14ac:dyDescent="0.25">
      <c r="N106" s="10">
        <v>50</v>
      </c>
      <c r="O106" s="17">
        <f t="shared" si="38"/>
        <v>-0.26508382896923521</v>
      </c>
      <c r="P106" s="17">
        <f t="shared" si="43"/>
        <v>50</v>
      </c>
      <c r="Q106" s="19">
        <f t="shared" si="44"/>
        <v>71.383252762423254</v>
      </c>
      <c r="R106" s="11">
        <f t="shared" si="39"/>
        <v>0.62145431706352372</v>
      </c>
      <c r="S106" s="19">
        <f t="shared" si="40"/>
        <v>115.59050297381542</v>
      </c>
      <c r="T106" s="19">
        <f t="shared" si="41"/>
        <v>115.59050297381542</v>
      </c>
      <c r="U106" s="19">
        <f t="shared" si="42"/>
        <v>83.804000000000016</v>
      </c>
    </row>
    <row r="107" spans="14:21" x14ac:dyDescent="0.25">
      <c r="N107" s="10">
        <v>50.5</v>
      </c>
      <c r="O107" s="17">
        <f t="shared" si="38"/>
        <v>-0.22215502988983182</v>
      </c>
      <c r="P107" s="17">
        <f t="shared" si="43"/>
        <v>50.5</v>
      </c>
      <c r="Q107" s="19">
        <f t="shared" si="44"/>
        <v>71.909029059711386</v>
      </c>
      <c r="R107" s="11">
        <f t="shared" si="39"/>
        <v>0.62006951709322045</v>
      </c>
      <c r="S107" s="19">
        <f t="shared" si="40"/>
        <v>115.332930179339</v>
      </c>
      <c r="T107" s="19">
        <f t="shared" si="41"/>
        <v>115.332930179339</v>
      </c>
      <c r="U107" s="19">
        <f t="shared" si="42"/>
        <v>83.804000000000016</v>
      </c>
    </row>
    <row r="108" spans="14:21" x14ac:dyDescent="0.25">
      <c r="N108" s="10">
        <v>51</v>
      </c>
      <c r="O108" s="17">
        <f t="shared" si="38"/>
        <v>-0.17942943089125762</v>
      </c>
      <c r="P108" s="17">
        <f t="shared" si="43"/>
        <v>51</v>
      </c>
      <c r="Q108" s="19">
        <f t="shared" si="44"/>
        <v>72.433456491008286</v>
      </c>
      <c r="R108" s="11">
        <f t="shared" si="39"/>
        <v>0.61869127196423412</v>
      </c>
      <c r="S108" s="19">
        <f t="shared" si="40"/>
        <v>115.07657658534755</v>
      </c>
      <c r="T108" s="19">
        <f t="shared" si="41"/>
        <v>115.07657658534755</v>
      </c>
      <c r="U108" s="19">
        <f t="shared" si="42"/>
        <v>83.804000000000016</v>
      </c>
    </row>
    <row r="109" spans="14:21" x14ac:dyDescent="0.25">
      <c r="N109" s="10">
        <v>51.5</v>
      </c>
      <c r="O109" s="17">
        <f t="shared" si="38"/>
        <v>-0.13690293641382212</v>
      </c>
      <c r="P109" s="17">
        <f t="shared" si="43"/>
        <v>51.5</v>
      </c>
      <c r="Q109" s="19">
        <f t="shared" si="44"/>
        <v>72.956558483440958</v>
      </c>
      <c r="R109" s="11">
        <f t="shared" si="39"/>
        <v>0.61731944956173623</v>
      </c>
      <c r="S109" s="19">
        <f t="shared" si="40"/>
        <v>114.82141761848294</v>
      </c>
      <c r="T109" s="19">
        <f t="shared" si="41"/>
        <v>114.82141761848294</v>
      </c>
      <c r="U109" s="19">
        <f t="shared" si="42"/>
        <v>83.804000000000016</v>
      </c>
    </row>
    <row r="110" spans="14:21" x14ac:dyDescent="0.25">
      <c r="N110" s="10">
        <v>52</v>
      </c>
      <c r="O110" s="17">
        <f t="shared" si="38"/>
        <v>-9.4571556436765292E-2</v>
      </c>
      <c r="P110" s="17">
        <f t="shared" si="43"/>
        <v>52</v>
      </c>
      <c r="Q110" s="19">
        <f t="shared" si="44"/>
        <v>73.478357968268128</v>
      </c>
      <c r="R110" s="11">
        <f t="shared" si="39"/>
        <v>0.6159539211753795</v>
      </c>
      <c r="S110" s="19">
        <f t="shared" si="40"/>
        <v>114.56742933862058</v>
      </c>
      <c r="T110" s="19">
        <f t="shared" si="41"/>
        <v>114.56742933862058</v>
      </c>
      <c r="U110" s="19">
        <f t="shared" si="42"/>
        <v>83.804000000000016</v>
      </c>
    </row>
    <row r="111" spans="14:21" x14ac:dyDescent="0.25">
      <c r="N111" s="10">
        <v>52.5</v>
      </c>
      <c r="O111" s="17">
        <f t="shared" si="38"/>
        <v>-5.2431402688688067E-2</v>
      </c>
      <c r="P111" s="17">
        <f t="shared" si="43"/>
        <v>52.5</v>
      </c>
      <c r="Q111" s="19">
        <f t="shared" si="44"/>
        <v>73.998877395629762</v>
      </c>
      <c r="R111" s="11">
        <f t="shared" si="39"/>
        <v>0.61459456137705448</v>
      </c>
      <c r="S111" s="19">
        <f t="shared" si="40"/>
        <v>114.31458841613214</v>
      </c>
      <c r="T111" s="19">
        <f t="shared" si="41"/>
        <v>114.31458841613214</v>
      </c>
      <c r="U111" s="19">
        <f t="shared" si="42"/>
        <v>83.804000000000016</v>
      </c>
    </row>
    <row r="112" spans="14:21" x14ac:dyDescent="0.25">
      <c r="N112" s="10">
        <v>53</v>
      </c>
      <c r="O112" s="17">
        <f t="shared" si="38"/>
        <v>-1.0478685027210943E-2</v>
      </c>
      <c r="P112" s="17">
        <f t="shared" si="43"/>
        <v>53</v>
      </c>
      <c r="Q112" s="19">
        <f t="shared" si="44"/>
        <v>74.518138748736973</v>
      </c>
      <c r="R112" s="11">
        <f t="shared" si="39"/>
        <v>0.6132412479041035</v>
      </c>
      <c r="S112" s="19">
        <f t="shared" si="40"/>
        <v>114.06287211016326</v>
      </c>
      <c r="T112" s="19">
        <f t="shared" si="41"/>
        <v>114.06287211016326</v>
      </c>
      <c r="U112" s="19">
        <f t="shared" si="42"/>
        <v>83.804000000000016</v>
      </c>
    </row>
    <row r="113" spans="14:21" x14ac:dyDescent="0.25">
      <c r="N113" s="10">
        <v>53.5</v>
      </c>
      <c r="O113" s="17">
        <f t="shared" si="38"/>
        <v>3.1290292021306954E-2</v>
      </c>
      <c r="P113" s="17">
        <f t="shared" si="43"/>
        <v>53.5</v>
      </c>
      <c r="Q113" s="19">
        <f t="shared" si="44"/>
        <v>75.036163557529107</v>
      </c>
      <c r="R113" s="11">
        <f t="shared" si="39"/>
        <v>0.61189386154769976</v>
      </c>
      <c r="S113" s="19">
        <f t="shared" si="40"/>
        <v>113.81225824787215</v>
      </c>
      <c r="T113" s="19">
        <f t="shared" si="41"/>
        <v>113.81225824787215</v>
      </c>
      <c r="U113" s="19">
        <f t="shared" si="42"/>
        <v>83.804000000000016</v>
      </c>
    </row>
    <row r="114" spans="14:21" x14ac:dyDescent="0.25">
      <c r="N114" s="10">
        <v>54</v>
      </c>
      <c r="O114" s="17">
        <f t="shared" si="38"/>
        <v>7.2879132570330185E-2</v>
      </c>
      <c r="P114" s="17">
        <f t="shared" si="43"/>
        <v>54</v>
      </c>
      <c r="Q114" s="19">
        <f t="shared" si="44"/>
        <v>75.552972911820163</v>
      </c>
      <c r="R114" s="11">
        <f t="shared" si="39"/>
        <v>0.61055228604611844</v>
      </c>
      <c r="S114" s="19">
        <f t="shared" si="40"/>
        <v>113.56272520457803</v>
      </c>
      <c r="T114" s="19">
        <f t="shared" si="41"/>
        <v>113.56272520457803</v>
      </c>
      <c r="U114" s="19">
        <f t="shared" si="42"/>
        <v>83.804000000000016</v>
      </c>
    </row>
    <row r="115" spans="14:21" x14ac:dyDescent="0.25">
      <c r="N115" s="10">
        <v>54.5</v>
      </c>
      <c r="O115" s="17">
        <f t="shared" si="38"/>
        <v>0.11429135253812817</v>
      </c>
      <c r="P115" s="17">
        <f t="shared" si="43"/>
        <v>54.5</v>
      </c>
      <c r="Q115" s="19">
        <f t="shared" si="44"/>
        <v>76.068587473959511</v>
      </c>
      <c r="R115" s="11">
        <f t="shared" si="39"/>
        <v>0.60921640798264098</v>
      </c>
      <c r="S115" s="19">
        <f t="shared" si="40"/>
        <v>113.31425188477122</v>
      </c>
      <c r="T115" s="19">
        <f t="shared" si="41"/>
        <v>113.31425188477122</v>
      </c>
      <c r="U115" s="19">
        <f t="shared" si="42"/>
        <v>83.804000000000016</v>
      </c>
    </row>
    <row r="116" spans="14:21" x14ac:dyDescent="0.25">
      <c r="N116" s="10">
        <v>55</v>
      </c>
      <c r="O116" s="17">
        <f t="shared" si="38"/>
        <v>0.15553038267665542</v>
      </c>
      <c r="P116" s="17">
        <f t="shared" si="43"/>
        <v>55</v>
      </c>
      <c r="Q116" s="19">
        <f t="shared" si="44"/>
        <v>76.58302749102846</v>
      </c>
      <c r="R116" s="11">
        <f t="shared" si="39"/>
        <v>0.60788611668784975</v>
      </c>
      <c r="S116" s="19">
        <f t="shared" si="40"/>
        <v>113.06681770394006</v>
      </c>
      <c r="T116" s="19">
        <f t="shared" si="41"/>
        <v>113.06681770394006</v>
      </c>
      <c r="U116" s="19">
        <f t="shared" si="42"/>
        <v>83.804000000000016</v>
      </c>
    </row>
    <row r="117" spans="14:21" x14ac:dyDescent="0.25">
      <c r="N117" s="10">
        <v>55.5</v>
      </c>
      <c r="O117" s="17">
        <f t="shared" si="38"/>
        <v>0.19659957147121077</v>
      </c>
      <c r="P117" s="17">
        <f t="shared" si="43"/>
        <v>55.5</v>
      </c>
      <c r="Q117" s="19">
        <f t="shared" si="44"/>
        <v>77.096312806591371</v>
      </c>
      <c r="R117" s="11">
        <f t="shared" si="39"/>
        <v>0.60656130414609</v>
      </c>
      <c r="S117" s="19">
        <f t="shared" si="40"/>
        <v>112.82040257117274</v>
      </c>
      <c r="T117" s="19">
        <f t="shared" si="41"/>
        <v>112.82040257117274</v>
      </c>
      <c r="U117" s="19">
        <f t="shared" si="42"/>
        <v>83.804000000000016</v>
      </c>
    </row>
    <row r="118" spans="14:21" x14ac:dyDescent="0.25">
      <c r="N118" s="10">
        <v>56</v>
      </c>
      <c r="O118" s="17">
        <f t="shared" si="38"/>
        <v>0.23750218791773925</v>
      </c>
      <c r="P118" s="17">
        <f t="shared" si="43"/>
        <v>56</v>
      </c>
      <c r="Q118" s="19">
        <f t="shared" si="44"/>
        <v>77.608462872023878</v>
      </c>
      <c r="R118" s="11">
        <f t="shared" si="39"/>
        <v>0.60524186490587928</v>
      </c>
      <c r="S118" s="19">
        <f t="shared" si="40"/>
        <v>112.57498687249354</v>
      </c>
      <c r="T118" s="19">
        <f t="shared" si="41"/>
        <v>112.57498687249354</v>
      </c>
      <c r="U118" s="19">
        <f t="shared" si="42"/>
        <v>83.804000000000016</v>
      </c>
    </row>
    <row r="119" spans="14:21" x14ac:dyDescent="0.25">
      <c r="N119" s="10">
        <v>56.5</v>
      </c>
      <c r="O119" s="17">
        <f t="shared" si="38"/>
        <v>0.27824142418378273</v>
      </c>
      <c r="P119" s="17">
        <f t="shared" si="43"/>
        <v>56.5</v>
      </c>
      <c r="Q119" s="19">
        <f t="shared" si="44"/>
        <v>78.119496757434135</v>
      </c>
      <c r="R119" s="11">
        <f t="shared" si="39"/>
        <v>0.60392769599407148</v>
      </c>
      <c r="S119" s="19">
        <f t="shared" si="40"/>
        <v>112.33055145489729</v>
      </c>
      <c r="T119" s="19">
        <f t="shared" si="41"/>
        <v>112.33055145489729</v>
      </c>
      <c r="U119" s="19">
        <f t="shared" si="42"/>
        <v>83.804000000000016</v>
      </c>
    </row>
    <row r="120" spans="14:21" x14ac:dyDescent="0.25">
      <c r="N120" s="10">
        <v>57</v>
      </c>
      <c r="O120" s="17">
        <f t="shared" si="38"/>
        <v>0.31882039815908847</v>
      </c>
      <c r="P120" s="17">
        <f t="shared" si="43"/>
        <v>57</v>
      </c>
      <c r="Q120" s="19">
        <f t="shared" si="44"/>
        <v>78.629433162196605</v>
      </c>
      <c r="R120" s="11">
        <f t="shared" si="39"/>
        <v>0.60261869683357772</v>
      </c>
      <c r="S120" s="19">
        <f t="shared" si="40"/>
        <v>112.08707761104546</v>
      </c>
      <c r="T120" s="19">
        <f t="shared" si="41"/>
        <v>112.08707761104546</v>
      </c>
      <c r="U120" s="19">
        <f t="shared" si="42"/>
        <v>83.804000000000016</v>
      </c>
    </row>
    <row r="121" spans="14:21" x14ac:dyDescent="0.25">
      <c r="N121" s="10">
        <v>57.5</v>
      </c>
      <c r="O121" s="17">
        <f t="shared" si="38"/>
        <v>0.35924215590122266</v>
      </c>
      <c r="P121" s="17">
        <f t="shared" si="43"/>
        <v>57.5</v>
      </c>
      <c r="Q121" s="19">
        <f t="shared" si="44"/>
        <v>79.138290425112984</v>
      </c>
      <c r="R121" s="11">
        <f t="shared" si="39"/>
        <v>0.60131476916447668</v>
      </c>
      <c r="S121" s="19">
        <f t="shared" si="40"/>
        <v>111.84454706459266</v>
      </c>
      <c r="T121" s="19">
        <f t="shared" si="41"/>
        <v>111.84454706459266</v>
      </c>
      <c r="U121" s="19">
        <f t="shared" si="42"/>
        <v>83.804000000000016</v>
      </c>
    </row>
    <row r="122" spans="14:21" x14ac:dyDescent="0.25">
      <c r="N122" s="10">
        <v>58</v>
      </c>
      <c r="O122" s="17">
        <f t="shared" si="38"/>
        <v>0.39950967398162085</v>
      </c>
      <c r="P122" s="17">
        <f t="shared" si="43"/>
        <v>58</v>
      </c>
      <c r="Q122" s="19">
        <f t="shared" si="44"/>
        <v>79.646086534219208</v>
      </c>
      <c r="R122" s="11">
        <f t="shared" si="39"/>
        <v>0.60001581696833484</v>
      </c>
      <c r="S122" s="19">
        <f t="shared" si="40"/>
        <v>111.60294195611029</v>
      </c>
      <c r="T122" s="19">
        <f t="shared" si="41"/>
        <v>111.60294195611029</v>
      </c>
      <c r="U122" s="19">
        <f t="shared" si="42"/>
        <v>83.804000000000016</v>
      </c>
    </row>
    <row r="123" spans="14:21" x14ac:dyDescent="0.25">
      <c r="N123" s="10">
        <v>58.5</v>
      </c>
      <c r="O123" s="17">
        <f t="shared" si="38"/>
        <v>0.43962586173667439</v>
      </c>
      <c r="P123" s="17">
        <f t="shared" si="43"/>
        <v>58.5</v>
      </c>
      <c r="Q123" s="19">
        <f t="shared" si="44"/>
        <v>80.152839136249852</v>
      </c>
      <c r="R123" s="11">
        <f t="shared" si="39"/>
        <v>0.59872174639559117</v>
      </c>
      <c r="S123" s="19">
        <f t="shared" si="40"/>
        <v>111.36224482957996</v>
      </c>
      <c r="T123" s="19">
        <f t="shared" si="41"/>
        <v>111.36224482957996</v>
      </c>
      <c r="U123" s="19">
        <f t="shared" si="42"/>
        <v>83.804000000000016</v>
      </c>
    </row>
    <row r="124" spans="14:21" x14ac:dyDescent="0.25">
      <c r="N124" s="10">
        <v>59</v>
      </c>
      <c r="O124" s="17">
        <f t="shared" si="38"/>
        <v>0.47959356342874315</v>
      </c>
      <c r="P124" s="17">
        <f t="shared" si="43"/>
        <v>59</v>
      </c>
      <c r="Q124" s="19">
        <f t="shared" si="44"/>
        <v>80.658565545777748</v>
      </c>
      <c r="R124" s="11">
        <f t="shared" si="39"/>
        <v>0.59743246569584696</v>
      </c>
      <c r="S124" s="19">
        <f t="shared" si="40"/>
        <v>111.12243861942754</v>
      </c>
      <c r="T124" s="19">
        <f t="shared" si="41"/>
        <v>111.12243861942754</v>
      </c>
      <c r="U124" s="19">
        <f t="shared" si="42"/>
        <v>83.804000000000016</v>
      </c>
    </row>
    <row r="125" spans="14:21" x14ac:dyDescent="0.25">
      <c r="N125" s="10">
        <v>59.5</v>
      </c>
      <c r="O125" s="17">
        <f t="shared" si="38"/>
        <v>0.51941556032123515</v>
      </c>
      <c r="P125" s="17">
        <f t="shared" si="43"/>
        <v>59.5</v>
      </c>
      <c r="Q125" s="19">
        <f t="shared" si="44"/>
        <v>81.163282754039741</v>
      </c>
      <c r="R125" s="11">
        <f t="shared" si="39"/>
        <v>0.59614788515092787</v>
      </c>
      <c r="S125" s="19">
        <f t="shared" si="40"/>
        <v>110.88350663807259</v>
      </c>
      <c r="T125" s="19">
        <f t="shared" si="41"/>
        <v>110.88350663807259</v>
      </c>
      <c r="U125" s="19">
        <f t="shared" si="42"/>
        <v>83.804000000000016</v>
      </c>
    </row>
    <row r="126" spans="14:21" x14ac:dyDescent="0.25">
      <c r="N126" s="10">
        <v>60</v>
      </c>
      <c r="O126" s="17">
        <f t="shared" si="38"/>
        <v>0.55909457267198448</v>
      </c>
      <c r="P126" s="17">
        <f t="shared" si="43"/>
        <v>60</v>
      </c>
      <c r="Q126" s="19">
        <f t="shared" si="44"/>
        <v>81.667007437463184</v>
      </c>
      <c r="R126" s="11">
        <f t="shared" si="39"/>
        <v>0.59486791701058117</v>
      </c>
      <c r="S126" s="19">
        <f t="shared" si="40"/>
        <v>110.6454325639681</v>
      </c>
      <c r="T126" s="19">
        <f t="shared" si="41"/>
        <v>110.6454325639681</v>
      </c>
      <c r="U126" s="19">
        <f t="shared" si="42"/>
        <v>83.804000000000016</v>
      </c>
    </row>
    <row r="127" spans="14:21" x14ac:dyDescent="0.25">
      <c r="N127" s="10">
        <v>60.5</v>
      </c>
      <c r="O127" s="17">
        <f t="shared" si="38"/>
        <v>0.59863326164879993</v>
      </c>
      <c r="P127" s="17">
        <f t="shared" si="43"/>
        <v>60.5</v>
      </c>
      <c r="Q127" s="19">
        <f t="shared" si="44"/>
        <v>82.169755965905168</v>
      </c>
      <c r="R127" s="11">
        <f t="shared" si="39"/>
        <v>0.59359247543068383</v>
      </c>
      <c r="S127" s="19">
        <f t="shared" si="40"/>
        <v>110.40820043010719</v>
      </c>
      <c r="T127" s="19">
        <f t="shared" si="41"/>
        <v>110.40820043010719</v>
      </c>
      <c r="U127" s="19">
        <f t="shared" si="42"/>
        <v>83.804000000000016</v>
      </c>
    </row>
    <row r="128" spans="14:21" x14ac:dyDescent="0.25">
      <c r="N128" s="10">
        <v>61</v>
      </c>
      <c r="O128" s="17">
        <f t="shared" si="38"/>
        <v>0.63803423117072988</v>
      </c>
      <c r="P128" s="17">
        <f t="shared" si="43"/>
        <v>61</v>
      </c>
      <c r="Q128" s="19">
        <f t="shared" si="44"/>
        <v>82.671544410614985</v>
      </c>
      <c r="R128" s="11">
        <f t="shared" si="39"/>
        <v>0.59232147641384747</v>
      </c>
      <c r="S128" s="19">
        <f t="shared" si="40"/>
        <v>110.17179461297563</v>
      </c>
      <c r="T128" s="19">
        <f t="shared" si="41"/>
        <v>110.17179461297563</v>
      </c>
      <c r="U128" s="19">
        <f t="shared" si="42"/>
        <v>83.804000000000016</v>
      </c>
    </row>
    <row r="129" spans="14:21" x14ac:dyDescent="0.25">
      <c r="N129" s="10">
        <v>61.5</v>
      </c>
      <c r="O129" s="17">
        <f t="shared" si="38"/>
        <v>0.6773000296787135</v>
      </c>
      <c r="P129" s="17">
        <f t="shared" si="43"/>
        <v>61.5</v>
      </c>
      <c r="Q129" s="19">
        <f t="shared" si="44"/>
        <v>83.172388551933295</v>
      </c>
      <c r="R129" s="11">
        <f t="shared" si="39"/>
        <v>0.59105483775229961</v>
      </c>
      <c r="S129" s="19">
        <f t="shared" si="40"/>
        <v>109.93619982192773</v>
      </c>
      <c r="T129" s="19">
        <f t="shared" si="41"/>
        <v>109.93619982192773</v>
      </c>
      <c r="U129" s="19">
        <f t="shared" si="42"/>
        <v>83.804000000000016</v>
      </c>
    </row>
    <row r="130" spans="14:21" x14ac:dyDescent="0.25">
      <c r="N130" s="10">
        <v>62</v>
      </c>
      <c r="O130" s="17">
        <f t="shared" si="38"/>
        <v>0.71643315183868594</v>
      </c>
      <c r="P130" s="17">
        <f t="shared" si="43"/>
        <v>62</v>
      </c>
      <c r="Q130" s="19">
        <f t="shared" si="44"/>
        <v>83.672303886736216</v>
      </c>
      <c r="R130" s="11">
        <f t="shared" si="39"/>
        <v>0.58979247897294562</v>
      </c>
      <c r="S130" s="19">
        <f t="shared" si="40"/>
        <v>109.70140108896788</v>
      </c>
      <c r="T130" s="19">
        <f t="shared" si="41"/>
        <v>109.70140108896788</v>
      </c>
      <c r="U130" s="19">
        <f t="shared" si="42"/>
        <v>83.804000000000016</v>
      </c>
    </row>
    <row r="131" spans="14:21" x14ac:dyDescent="0.25">
      <c r="N131" s="10">
        <v>62.5</v>
      </c>
      <c r="O131" s="17">
        <f t="shared" si="38"/>
        <v>0.75543604018037414</v>
      </c>
      <c r="P131" s="17">
        <f t="shared" si="43"/>
        <v>62.5</v>
      </c>
      <c r="Q131" s="19">
        <f t="shared" si="44"/>
        <v>84.171305635636045</v>
      </c>
      <c r="R131" s="11">
        <f t="shared" si="39"/>
        <v>0.588534321284504</v>
      </c>
      <c r="S131" s="19">
        <f t="shared" si="40"/>
        <v>109.46738375891775</v>
      </c>
      <c r="T131" s="19">
        <f t="shared" si="41"/>
        <v>109.46738375891775</v>
      </c>
      <c r="U131" s="19">
        <f t="shared" si="42"/>
        <v>83.804000000000016</v>
      </c>
    </row>
    <row r="132" spans="14:21" x14ac:dyDescent="0.25">
      <c r="N132" s="10">
        <v>63</v>
      </c>
      <c r="O132" s="17">
        <f t="shared" si="38"/>
        <v>0.79431108667466965</v>
      </c>
      <c r="P132" s="17">
        <f t="shared" si="43"/>
        <v>63</v>
      </c>
      <c r="Q132" s="19">
        <f t="shared" si="44"/>
        <v>84.669408749947692</v>
      </c>
      <c r="R132" s="11">
        <f t="shared" si="39"/>
        <v>0.58728028752662365</v>
      </c>
      <c r="S132" s="19">
        <f t="shared" si="40"/>
        <v>109.23413347995199</v>
      </c>
      <c r="T132" s="19">
        <f t="shared" si="41"/>
        <v>109.23413347995199</v>
      </c>
      <c r="U132" s="19">
        <f t="shared" si="42"/>
        <v>83.804000000000016</v>
      </c>
    </row>
    <row r="133" spans="14:21" x14ac:dyDescent="0.25">
      <c r="N133" s="10">
        <v>63.5</v>
      </c>
      <c r="O133" s="17">
        <f t="shared" si="38"/>
        <v>0.83306063425237475</v>
      </c>
      <c r="P133" s="17">
        <f t="shared" si="43"/>
        <v>63.5</v>
      </c>
      <c r="Q133" s="19">
        <f t="shared" si="44"/>
        <v>85.166627918430322</v>
      </c>
      <c r="R133" s="11">
        <f t="shared" si="39"/>
        <v>0.58603030212089102</v>
      </c>
      <c r="S133" s="19">
        <f t="shared" si="40"/>
        <v>109.00163619448573</v>
      </c>
      <c r="T133" s="19">
        <f t="shared" si="41"/>
        <v>109.00163619448573</v>
      </c>
      <c r="U133" s="19">
        <f t="shared" si="42"/>
        <v>83.804000000000016</v>
      </c>
    </row>
    <row r="134" spans="14:21" x14ac:dyDescent="0.25">
      <c r="N134" s="10">
        <v>64</v>
      </c>
      <c r="O134" s="17">
        <f t="shared" ref="O134:O197" si="45">IF(N134=0,$B$5,IF(N134&gt;$B$9,NA(),-($B$6-$B$5)*(1-(N134/$B$9))^(0.985*((N134/$B$9)^(-0.625)))+$B$6))</f>
        <v>0.87168697826690611</v>
      </c>
      <c r="P134" s="17">
        <f t="shared" si="43"/>
        <v>64</v>
      </c>
      <c r="Q134" s="19">
        <f t="shared" si="44"/>
        <v>85.662977573812242</v>
      </c>
      <c r="R134" s="11">
        <f t="shared" ref="R134:R197" si="46">$B$13*($B$8-O134)</f>
        <v>0.58478429102364815</v>
      </c>
      <c r="S134" s="19">
        <f t="shared" ref="S134:S197" si="47">R134*$B$20</f>
        <v>108.76987813039855</v>
      </c>
      <c r="T134" s="19">
        <f t="shared" ref="T134:T197" si="48">R134*$B$20</f>
        <v>108.76987813039855</v>
      </c>
      <c r="U134" s="19">
        <f t="shared" ref="U134:U197" si="49">$B$21/2</f>
        <v>83.804000000000016</v>
      </c>
    </row>
    <row r="135" spans="14:21" x14ac:dyDescent="0.25">
      <c r="N135" s="10">
        <v>64.5</v>
      </c>
      <c r="O135" s="17">
        <f t="shared" si="45"/>
        <v>0.91019236790351599</v>
      </c>
      <c r="P135" s="17">
        <f t="shared" ref="P135:P198" si="50">N135</f>
        <v>64.5</v>
      </c>
      <c r="Q135" s="19">
        <f t="shared" si="44"/>
        <v>86.158471899108307</v>
      </c>
      <c r="R135" s="11">
        <f t="shared" si="46"/>
        <v>0.58354218168053174</v>
      </c>
      <c r="S135" s="19">
        <f t="shared" si="47"/>
        <v>108.5388457925789</v>
      </c>
      <c r="T135" s="19">
        <f t="shared" si="48"/>
        <v>108.5388457925789</v>
      </c>
      <c r="U135" s="19">
        <f t="shared" si="49"/>
        <v>83.804000000000016</v>
      </c>
    </row>
    <row r="136" spans="14:21" x14ac:dyDescent="0.25">
      <c r="N136" s="10">
        <v>65</v>
      </c>
      <c r="O136" s="17">
        <f t="shared" si="45"/>
        <v>0.94857900753738278</v>
      </c>
      <c r="P136" s="17">
        <f t="shared" si="50"/>
        <v>65</v>
      </c>
      <c r="Q136" s="19">
        <f t="shared" si="44"/>
        <v>86.653124833737735</v>
      </c>
      <c r="R136" s="11">
        <f t="shared" si="46"/>
        <v>0.5823039029826651</v>
      </c>
      <c r="S136" s="19">
        <f t="shared" si="47"/>
        <v>108.3085259547757</v>
      </c>
      <c r="T136" s="19">
        <f t="shared" si="48"/>
        <v>108.3085259547757</v>
      </c>
      <c r="U136" s="19">
        <f t="shared" si="49"/>
        <v>83.804000000000016</v>
      </c>
    </row>
    <row r="137" spans="14:21" x14ac:dyDescent="0.25">
      <c r="N137" s="10">
        <v>65.5</v>
      </c>
      <c r="O137" s="17">
        <f t="shared" si="45"/>
        <v>0.98684905804273981</v>
      </c>
      <c r="P137" s="17">
        <f t="shared" si="50"/>
        <v>65.5</v>
      </c>
      <c r="Q137" s="19">
        <f t="shared" si="44"/>
        <v>87.146950079448771</v>
      </c>
      <c r="R137" s="11">
        <f t="shared" si="46"/>
        <v>0.58106938522442775</v>
      </c>
      <c r="S137" s="19">
        <f t="shared" si="47"/>
        <v>108.07890565174355</v>
      </c>
      <c r="T137" s="19">
        <f t="shared" si="48"/>
        <v>108.07890565174355</v>
      </c>
      <c r="U137" s="19">
        <f t="shared" si="49"/>
        <v>83.804000000000016</v>
      </c>
    </row>
    <row r="138" spans="14:21" x14ac:dyDescent="0.25">
      <c r="N138" s="10">
        <v>66</v>
      </c>
      <c r="O138" s="17">
        <f t="shared" si="45"/>
        <v>1.0250046380553144</v>
      </c>
      <c r="P138" s="17">
        <f t="shared" si="50"/>
        <v>66</v>
      </c>
      <c r="Q138" s="19">
        <f t="shared" si="44"/>
        <v>87.63996110605963</v>
      </c>
      <c r="R138" s="11">
        <f t="shared" si="46"/>
        <v>0.57983856006273182</v>
      </c>
      <c r="S138" s="19">
        <f t="shared" si="47"/>
        <v>107.84997217166811</v>
      </c>
      <c r="T138" s="19">
        <f t="shared" si="48"/>
        <v>107.84997217166811</v>
      </c>
      <c r="U138" s="19">
        <f t="shared" si="49"/>
        <v>83.804000000000016</v>
      </c>
    </row>
    <row r="139" spans="14:21" x14ac:dyDescent="0.25">
      <c r="N139" s="10">
        <v>66.5</v>
      </c>
      <c r="O139" s="17">
        <f t="shared" si="45"/>
        <v>1.0630478251899458</v>
      </c>
      <c r="P139" s="17">
        <f t="shared" si="50"/>
        <v>66.5</v>
      </c>
      <c r="Q139" s="19">
        <f t="shared" si="44"/>
        <v>88.132171157020352</v>
      </c>
      <c r="R139" s="11">
        <f t="shared" si="46"/>
        <v>0.57861136047774364</v>
      </c>
      <c r="S139" s="19">
        <f t="shared" si="47"/>
        <v>107.62171304886031</v>
      </c>
      <c r="T139" s="19">
        <f t="shared" si="48"/>
        <v>107.62171304886031</v>
      </c>
      <c r="U139" s="19">
        <f t="shared" si="49"/>
        <v>83.804000000000016</v>
      </c>
    </row>
    <row r="140" spans="14:21" x14ac:dyDescent="0.25">
      <c r="N140" s="10">
        <v>67</v>
      </c>
      <c r="O140" s="17">
        <f t="shared" si="45"/>
        <v>1.1009806572154162</v>
      </c>
      <c r="P140" s="17">
        <f t="shared" si="50"/>
        <v>67</v>
      </c>
      <c r="Q140" s="19">
        <f t="shared" si="44"/>
        <v>88.623593254803978</v>
      </c>
      <c r="R140" s="11">
        <f t="shared" si="46"/>
        <v>0.57738772073498656</v>
      </c>
      <c r="S140" s="19">
        <f t="shared" si="47"/>
        <v>107.3941160567075</v>
      </c>
      <c r="T140" s="19">
        <f t="shared" si="48"/>
        <v>107.3941160567075</v>
      </c>
      <c r="U140" s="19">
        <f t="shared" si="49"/>
        <v>83.804000000000016</v>
      </c>
    </row>
    <row r="141" spans="14:21" x14ac:dyDescent="0.25">
      <c r="N141" s="10">
        <v>67.5</v>
      </c>
      <c r="O141" s="17">
        <f t="shared" si="45"/>
        <v>1.1388051331882831</v>
      </c>
      <c r="P141" s="17">
        <f t="shared" si="50"/>
        <v>67.5</v>
      </c>
      <c r="Q141" s="19">
        <f t="shared" si="44"/>
        <v>89.114240206132891</v>
      </c>
      <c r="R141" s="11">
        <f t="shared" si="46"/>
        <v>0.57616757634876503</v>
      </c>
      <c r="S141" s="19">
        <f t="shared" si="47"/>
        <v>107.16716920087029</v>
      </c>
      <c r="T141" s="19">
        <f t="shared" si="48"/>
        <v>107.16716920087029</v>
      </c>
      <c r="U141" s="19">
        <f t="shared" si="49"/>
        <v>83.804000000000016</v>
      </c>
    </row>
    <row r="142" spans="14:21" x14ac:dyDescent="0.25">
      <c r="N142" s="10">
        <v>68</v>
      </c>
      <c r="O142" s="17">
        <f t="shared" si="45"/>
        <v>1.1765232145473821</v>
      </c>
      <c r="P142" s="17">
        <f t="shared" si="50"/>
        <v>68</v>
      </c>
      <c r="Q142" s="19">
        <f t="shared" si="44"/>
        <v>89.604124607045335</v>
      </c>
      <c r="R142" s="11">
        <f t="shared" si="46"/>
        <v>0.57495086404685869</v>
      </c>
      <c r="S142" s="19">
        <f t="shared" si="47"/>
        <v>106.94086071271572</v>
      </c>
      <c r="T142" s="19">
        <f t="shared" si="48"/>
        <v>106.94086071271572</v>
      </c>
      <c r="U142" s="19">
        <f t="shared" si="49"/>
        <v>83.804000000000016</v>
      </c>
    </row>
    <row r="143" spans="14:21" x14ac:dyDescent="0.25">
      <c r="N143" s="10">
        <v>68.5</v>
      </c>
      <c r="O143" s="17">
        <f t="shared" si="45"/>
        <v>1.2141368261708241</v>
      </c>
      <c r="P143" s="17">
        <f t="shared" si="50"/>
        <v>68.5</v>
      </c>
      <c r="Q143" s="19">
        <f t="shared" si="44"/>
        <v>90.093258847810532</v>
      </c>
      <c r="R143" s="11">
        <f t="shared" si="46"/>
        <v>0.57373752173642512</v>
      </c>
      <c r="S143" s="19">
        <f t="shared" si="47"/>
        <v>106.71517904297507</v>
      </c>
      <c r="T143" s="19">
        <f t="shared" si="48"/>
        <v>106.71517904297507</v>
      </c>
      <c r="U143" s="19">
        <f t="shared" si="49"/>
        <v>83.804000000000016</v>
      </c>
    </row>
    <row r="144" spans="14:21" x14ac:dyDescent="0.25">
      <c r="N144" s="10">
        <v>69</v>
      </c>
      <c r="O144" s="17">
        <f t="shared" si="45"/>
        <v>1.2516478573967813</v>
      </c>
      <c r="P144" s="17">
        <f t="shared" si="50"/>
        <v>69</v>
      </c>
      <c r="Q144" s="19">
        <f t="shared" si="44"/>
        <v>90.581655117694112</v>
      </c>
      <c r="R144" s="11">
        <f t="shared" si="46"/>
        <v>0.57252748847107149</v>
      </c>
      <c r="S144" s="19">
        <f t="shared" si="47"/>
        <v>106.4901128556193</v>
      </c>
      <c r="T144" s="19">
        <f t="shared" si="48"/>
        <v>106.4901128556193</v>
      </c>
      <c r="U144" s="19">
        <f t="shared" si="49"/>
        <v>83.804000000000016</v>
      </c>
    </row>
    <row r="145" spans="14:21" x14ac:dyDescent="0.25">
      <c r="N145" s="10">
        <v>69.5</v>
      </c>
      <c r="O145" s="17">
        <f t="shared" si="45"/>
        <v>1.2890581630098907</v>
      </c>
      <c r="P145" s="17">
        <f t="shared" si="50"/>
        <v>69.5</v>
      </c>
      <c r="Q145" s="19">
        <f t="shared" si="44"/>
        <v>91.069325409583797</v>
      </c>
      <c r="R145" s="11">
        <f t="shared" si="46"/>
        <v>0.57132070441903582</v>
      </c>
      <c r="S145" s="19">
        <f t="shared" si="47"/>
        <v>106.26565102194066</v>
      </c>
      <c r="T145" s="19">
        <f t="shared" si="48"/>
        <v>106.26565102194066</v>
      </c>
      <c r="U145" s="19">
        <f t="shared" si="49"/>
        <v>83.804000000000016</v>
      </c>
    </row>
    <row r="146" spans="14:21" x14ac:dyDescent="0.25">
      <c r="N146" s="10">
        <v>70</v>
      </c>
      <c r="O146" s="17">
        <f t="shared" si="45"/>
        <v>1.3263695641943727</v>
      </c>
      <c r="P146" s="17">
        <f t="shared" si="50"/>
        <v>70</v>
      </c>
      <c r="Q146" s="19">
        <f t="shared" si="44"/>
        <v>91.556281524476034</v>
      </c>
      <c r="R146" s="11">
        <f t="shared" si="46"/>
        <v>0.57011711083243954</v>
      </c>
      <c r="S146" s="19">
        <f t="shared" si="47"/>
        <v>106.04178261483375</v>
      </c>
      <c r="T146" s="19">
        <f t="shared" si="48"/>
        <v>106.04178261483375</v>
      </c>
      <c r="U146" s="19">
        <f t="shared" si="49"/>
        <v>83.804000000000016</v>
      </c>
    </row>
    <row r="147" spans="14:21" x14ac:dyDescent="0.25">
      <c r="N147" s="10">
        <v>70.5</v>
      </c>
      <c r="O147" s="17">
        <f t="shared" si="45"/>
        <v>1.363583849455452</v>
      </c>
      <c r="P147" s="17">
        <f t="shared" si="50"/>
        <v>70.5</v>
      </c>
      <c r="Q147" s="19">
        <f t="shared" si="44"/>
        <v>92.042535075831609</v>
      </c>
      <c r="R147" s="11">
        <f t="shared" si="46"/>
        <v>0.56891665001756608</v>
      </c>
      <c r="S147" s="19">
        <f t="shared" si="47"/>
        <v>105.81849690326729</v>
      </c>
      <c r="T147" s="19">
        <f t="shared" si="48"/>
        <v>105.81849690326729</v>
      </c>
      <c r="U147" s="19">
        <f t="shared" si="49"/>
        <v>83.804000000000016</v>
      </c>
    </row>
    <row r="148" spans="14:21" x14ac:dyDescent="0.25">
      <c r="N148" s="10">
        <v>71</v>
      </c>
      <c r="O148" s="17">
        <f t="shared" si="45"/>
        <v>1.4007027755102506</v>
      </c>
      <c r="P148" s="17">
        <f t="shared" si="50"/>
        <v>71</v>
      </c>
      <c r="Q148" s="19">
        <f t="shared" si="44"/>
        <v>92.528097493803386</v>
      </c>
      <c r="R148" s="11">
        <f t="shared" si="46"/>
        <v>0.56771926530612093</v>
      </c>
      <c r="S148" s="19">
        <f t="shared" si="47"/>
        <v>105.59578334693849</v>
      </c>
      <c r="T148" s="19">
        <f t="shared" si="48"/>
        <v>105.59578334693849</v>
      </c>
      <c r="U148" s="19">
        <f t="shared" si="49"/>
        <v>83.804000000000016</v>
      </c>
    </row>
    <row r="149" spans="14:21" x14ac:dyDescent="0.25">
      <c r="N149" s="10">
        <v>71.5</v>
      </c>
      <c r="O149" s="17">
        <f t="shared" si="45"/>
        <v>1.4377280681494167</v>
      </c>
      <c r="P149" s="17">
        <f t="shared" si="50"/>
        <v>71.5</v>
      </c>
      <c r="Q149" s="19">
        <f t="shared" si="44"/>
        <v>93.012980029341023</v>
      </c>
      <c r="R149" s="11">
        <f t="shared" si="46"/>
        <v>0.56652490102743813</v>
      </c>
      <c r="S149" s="19">
        <f t="shared" si="47"/>
        <v>105.37363159110349</v>
      </c>
      <c r="T149" s="19">
        <f t="shared" si="48"/>
        <v>105.37363159110349</v>
      </c>
      <c r="U149" s="19">
        <f t="shared" si="49"/>
        <v>83.804000000000016</v>
      </c>
    </row>
    <row r="150" spans="14:21" x14ac:dyDescent="0.25">
      <c r="N150" s="10">
        <v>72</v>
      </c>
      <c r="O150" s="17">
        <f t="shared" si="45"/>
        <v>1.4746614230706747</v>
      </c>
      <c r="P150" s="17">
        <f t="shared" si="50"/>
        <v>72</v>
      </c>
      <c r="Q150" s="19">
        <f t="shared" si="44"/>
        <v>93.49719375817736</v>
      </c>
      <c r="R150" s="11">
        <f t="shared" si="46"/>
        <v>0.56533350248159109</v>
      </c>
      <c r="S150" s="19">
        <f t="shared" si="47"/>
        <v>105.15203146157594</v>
      </c>
      <c r="T150" s="19">
        <f t="shared" si="48"/>
        <v>105.15203146157594</v>
      </c>
      <c r="U150" s="19">
        <f t="shared" si="49"/>
        <v>83.804000000000016</v>
      </c>
    </row>
    <row r="151" spans="14:21" x14ac:dyDescent="0.25">
      <c r="N151" s="10">
        <v>72.5</v>
      </c>
      <c r="O151" s="17">
        <f t="shared" si="45"/>
        <v>1.5115045066853448</v>
      </c>
      <c r="P151" s="17">
        <f t="shared" si="50"/>
        <v>72.5</v>
      </c>
      <c r="Q151" s="19">
        <f t="shared" si="44"/>
        <v>93.980749584699339</v>
      </c>
      <c r="R151" s="11">
        <f t="shared" si="46"/>
        <v>0.56414501591337596</v>
      </c>
      <c r="S151" s="19">
        <f t="shared" si="47"/>
        <v>104.93097295988792</v>
      </c>
      <c r="T151" s="19">
        <f t="shared" si="48"/>
        <v>104.93097295988792</v>
      </c>
      <c r="U151" s="19">
        <f t="shared" si="49"/>
        <v>83.804000000000016</v>
      </c>
    </row>
    <row r="152" spans="14:21" x14ac:dyDescent="0.25">
      <c r="N152" s="10">
        <v>73</v>
      </c>
      <c r="O152" s="17">
        <f t="shared" si="45"/>
        <v>1.5482589568990424</v>
      </c>
      <c r="P152" s="17">
        <f t="shared" si="50"/>
        <v>73</v>
      </c>
      <c r="Q152" s="19">
        <f t="shared" si="44"/>
        <v>94.463658245709794</v>
      </c>
      <c r="R152" s="11">
        <f t="shared" si="46"/>
        <v>0.56295938848712768</v>
      </c>
      <c r="S152" s="19">
        <f t="shared" si="47"/>
        <v>104.71044625860574</v>
      </c>
      <c r="T152" s="19">
        <f t="shared" si="48"/>
        <v>104.71044625860574</v>
      </c>
      <c r="U152" s="19">
        <f t="shared" si="49"/>
        <v>83.804000000000016</v>
      </c>
    </row>
    <row r="153" spans="14:21" x14ac:dyDescent="0.25">
      <c r="N153" s="10">
        <v>73.5</v>
      </c>
      <c r="O153" s="17">
        <f t="shared" si="45"/>
        <v>1.5849263838673622</v>
      </c>
      <c r="P153" s="17">
        <f t="shared" si="50"/>
        <v>73.5</v>
      </c>
      <c r="Q153" s="19">
        <f t="shared" si="44"/>
        <v>94.945930314080641</v>
      </c>
      <c r="R153" s="11">
        <f t="shared" si="46"/>
        <v>0.56177656826234312</v>
      </c>
      <c r="S153" s="19">
        <f t="shared" si="47"/>
        <v>104.49044169679583</v>
      </c>
      <c r="T153" s="19">
        <f t="shared" si="48"/>
        <v>104.49044169679583</v>
      </c>
      <c r="U153" s="19">
        <f t="shared" si="49"/>
        <v>83.804000000000016</v>
      </c>
    </row>
    <row r="154" spans="14:21" x14ac:dyDescent="0.25">
      <c r="N154" s="10">
        <v>74</v>
      </c>
      <c r="O154" s="17">
        <f t="shared" si="45"/>
        <v>1.6215083707277351</v>
      </c>
      <c r="P154" s="17">
        <f t="shared" si="50"/>
        <v>74</v>
      </c>
      <c r="Q154" s="19">
        <f t="shared" si="44"/>
        <v>95.427576202304323</v>
      </c>
      <c r="R154" s="11">
        <f t="shared" si="46"/>
        <v>0.56059650417007301</v>
      </c>
      <c r="S154" s="19">
        <f t="shared" si="47"/>
        <v>104.27094977563358</v>
      </c>
      <c r="T154" s="19">
        <f t="shared" si="48"/>
        <v>104.27094977563358</v>
      </c>
      <c r="U154" s="19">
        <f t="shared" si="49"/>
        <v>83.804000000000016</v>
      </c>
    </row>
    <row r="155" spans="14:21" x14ac:dyDescent="0.25">
      <c r="N155" s="10">
        <v>74.5</v>
      </c>
      <c r="O155" s="17">
        <f t="shared" si="45"/>
        <v>1.658006474308225</v>
      </c>
      <c r="P155" s="17">
        <f t="shared" si="50"/>
        <v>74.5</v>
      </c>
      <c r="Q155" s="19">
        <f t="shared" si="44"/>
        <v>95.908606165944761</v>
      </c>
      <c r="R155" s="11">
        <f t="shared" si="46"/>
        <v>0.55941914599005726</v>
      </c>
      <c r="S155" s="19">
        <f t="shared" si="47"/>
        <v>104.05196115415065</v>
      </c>
      <c r="T155" s="19">
        <f t="shared" si="48"/>
        <v>104.05196115415065</v>
      </c>
      <c r="U155" s="19">
        <f t="shared" si="49"/>
        <v>83.804000000000016</v>
      </c>
    </row>
    <row r="156" spans="14:21" x14ac:dyDescent="0.25">
      <c r="N156" s="10">
        <v>75</v>
      </c>
      <c r="O156" s="17">
        <f t="shared" si="45"/>
        <v>1.6944222258142361</v>
      </c>
      <c r="P156" s="17">
        <f t="shared" si="50"/>
        <v>75</v>
      </c>
      <c r="Q156" s="19">
        <f t="shared" si="44"/>
        <v>96.389030306992353</v>
      </c>
      <c r="R156" s="11">
        <f t="shared" si="46"/>
        <v>0.55824444432857301</v>
      </c>
      <c r="S156" s="19">
        <f t="shared" si="47"/>
        <v>103.83346664511458</v>
      </c>
      <c r="T156" s="19">
        <f t="shared" si="48"/>
        <v>103.83346664511458</v>
      </c>
      <c r="U156" s="19">
        <f t="shared" si="49"/>
        <v>83.804000000000016</v>
      </c>
    </row>
    <row r="157" spans="14:21" x14ac:dyDescent="0.25">
      <c r="N157" s="10">
        <v>75.5</v>
      </c>
      <c r="O157" s="17">
        <f t="shared" si="45"/>
        <v>1.7307571314939487</v>
      </c>
      <c r="P157" s="17">
        <f t="shared" si="50"/>
        <v>75.5</v>
      </c>
      <c r="Q157" s="19">
        <f t="shared" si="44"/>
        <v>96.868858577125707</v>
      </c>
      <c r="R157" s="11">
        <f t="shared" si="46"/>
        <v>0.55707235059696936</v>
      </c>
      <c r="S157" s="19">
        <f t="shared" si="47"/>
        <v>103.6154572110363</v>
      </c>
      <c r="T157" s="19">
        <f t="shared" si="48"/>
        <v>103.6154572110363</v>
      </c>
      <c r="U157" s="19">
        <f t="shared" si="49"/>
        <v>83.804000000000016</v>
      </c>
    </row>
    <row r="158" spans="14:21" x14ac:dyDescent="0.25">
      <c r="N158" s="10">
        <v>76</v>
      </c>
      <c r="O158" s="17">
        <f t="shared" si="45"/>
        <v>1.7670126732832525</v>
      </c>
      <c r="P158" s="17">
        <f t="shared" si="50"/>
        <v>76</v>
      </c>
      <c r="Q158" s="19">
        <f t="shared" si="44"/>
        <v>97.348100780882916</v>
      </c>
      <c r="R158" s="11">
        <f t="shared" si="46"/>
        <v>0.55590281699086275</v>
      </c>
      <c r="S158" s="19">
        <f t="shared" si="47"/>
        <v>103.39792396030047</v>
      </c>
      <c r="T158" s="19">
        <f t="shared" si="48"/>
        <v>103.39792396030047</v>
      </c>
      <c r="U158" s="19">
        <f t="shared" si="49"/>
        <v>83.804000000000016</v>
      </c>
    </row>
    <row r="159" spans="14:21" x14ac:dyDescent="0.25">
      <c r="N159" s="10">
        <v>76.5</v>
      </c>
      <c r="O159" s="17">
        <f t="shared" si="45"/>
        <v>1.8031903094310735</v>
      </c>
      <c r="P159" s="17">
        <f t="shared" si="50"/>
        <v>76.5</v>
      </c>
      <c r="Q159" s="19">
        <f t="shared" ref="Q159:Q222" si="51" xml:space="preserve"> -0.0232*O159^3 + 0.296*O159^2 + 12.396*O159 + 74.648</f>
        <v>97.826766578746899</v>
      </c>
      <c r="R159" s="11">
        <f t="shared" si="46"/>
        <v>0.5547357964699654</v>
      </c>
      <c r="S159" s="19">
        <f t="shared" si="47"/>
        <v>103.18085814341356</v>
      </c>
      <c r="T159" s="19">
        <f t="shared" si="48"/>
        <v>103.18085814341356</v>
      </c>
      <c r="U159" s="19">
        <f t="shared" si="49"/>
        <v>83.804000000000016</v>
      </c>
    </row>
    <row r="160" spans="14:21" x14ac:dyDescent="0.25">
      <c r="N160" s="10">
        <v>77</v>
      </c>
      <c r="O160" s="17">
        <f t="shared" si="45"/>
        <v>1.8392914751056484</v>
      </c>
      <c r="P160" s="17">
        <f t="shared" si="50"/>
        <v>77</v>
      </c>
      <c r="Q160" s="19">
        <f t="shared" si="51"/>
        <v>98.30486549014509</v>
      </c>
      <c r="R160" s="11">
        <f t="shared" si="46"/>
        <v>0.55357124273852754</v>
      </c>
      <c r="S160" s="19">
        <f t="shared" si="47"/>
        <v>102.96425114936612</v>
      </c>
      <c r="T160" s="19">
        <f t="shared" si="48"/>
        <v>102.96425114936612</v>
      </c>
      <c r="U160" s="19">
        <f t="shared" si="49"/>
        <v>83.804000000000016</v>
      </c>
    </row>
    <row r="161" spans="14:21" x14ac:dyDescent="0.25">
      <c r="N161" s="10">
        <v>77.5</v>
      </c>
      <c r="O161" s="17">
        <f t="shared" si="45"/>
        <v>1.8753175829826496</v>
      </c>
      <c r="P161" s="17">
        <f t="shared" si="50"/>
        <v>77.5</v>
      </c>
      <c r="Q161" s="19">
        <f t="shared" si="51"/>
        <v>98.782406896369011</v>
      </c>
      <c r="R161" s="11">
        <f t="shared" si="46"/>
        <v>0.55240911022636607</v>
      </c>
      <c r="S161" s="19">
        <f t="shared" si="47"/>
        <v>102.7480945021041</v>
      </c>
      <c r="T161" s="19">
        <f t="shared" si="48"/>
        <v>102.7480945021041</v>
      </c>
      <c r="U161" s="19">
        <f t="shared" si="49"/>
        <v>83.804000000000016</v>
      </c>
    </row>
    <row r="162" spans="14:21" x14ac:dyDescent="0.25">
      <c r="N162" s="10">
        <v>78</v>
      </c>
      <c r="O162" s="17">
        <f t="shared" si="45"/>
        <v>1.9112700238156712</v>
      </c>
      <c r="P162" s="17">
        <f t="shared" si="50"/>
        <v>78</v>
      </c>
      <c r="Q162" s="19">
        <f t="shared" si="51"/>
        <v>99.25940004341399</v>
      </c>
      <c r="R162" s="11">
        <f t="shared" si="46"/>
        <v>0.55124935407046216</v>
      </c>
      <c r="S162" s="19">
        <f t="shared" si="47"/>
        <v>102.53237985710597</v>
      </c>
      <c r="T162" s="19">
        <f t="shared" si="48"/>
        <v>102.53237985710597</v>
      </c>
      <c r="U162" s="19">
        <f t="shared" si="49"/>
        <v>83.804000000000016</v>
      </c>
    </row>
    <row r="163" spans="14:21" x14ac:dyDescent="0.25">
      <c r="N163" s="10">
        <v>78.5</v>
      </c>
      <c r="O163" s="17">
        <f t="shared" si="45"/>
        <v>1.9471501669898306</v>
      </c>
      <c r="P163" s="17">
        <f t="shared" si="50"/>
        <v>78.5</v>
      </c>
      <c r="Q163" s="19">
        <f t="shared" si="51"/>
        <v>99.735854044743178</v>
      </c>
      <c r="R163" s="11">
        <f t="shared" si="46"/>
        <v>0.55009193009710233</v>
      </c>
      <c r="S163" s="19">
        <f t="shared" si="47"/>
        <v>102.31709899806103</v>
      </c>
      <c r="T163" s="19">
        <f t="shared" si="48"/>
        <v>102.31709899806103</v>
      </c>
      <c r="U163" s="19">
        <f t="shared" si="49"/>
        <v>83.804000000000016</v>
      </c>
    </row>
    <row r="164" spans="14:21" x14ac:dyDescent="0.25">
      <c r="N164" s="10">
        <v>79</v>
      </c>
      <c r="O164" s="17">
        <f t="shared" si="45"/>
        <v>1.9829593610590628</v>
      </c>
      <c r="P164" s="17">
        <f t="shared" si="50"/>
        <v>79</v>
      </c>
      <c r="Q164" s="19">
        <f t="shared" si="51"/>
        <v>100.21177788397749</v>
      </c>
      <c r="R164" s="11">
        <f t="shared" si="46"/>
        <v>0.54893679480454638</v>
      </c>
      <c r="S164" s="19">
        <f t="shared" si="47"/>
        <v>102.10224383364563</v>
      </c>
      <c r="T164" s="19">
        <f t="shared" si="48"/>
        <v>102.10224383364563</v>
      </c>
      <c r="U164" s="19">
        <f t="shared" si="49"/>
        <v>83.804000000000016</v>
      </c>
    </row>
    <row r="165" spans="14:21" x14ac:dyDescent="0.25">
      <c r="N165" s="10">
        <v>79.5</v>
      </c>
      <c r="O165" s="17">
        <f t="shared" si="45"/>
        <v>2.0186989342677073</v>
      </c>
      <c r="P165" s="17">
        <f t="shared" si="50"/>
        <v>79.5</v>
      </c>
      <c r="Q165" s="19">
        <f t="shared" si="51"/>
        <v>100.68718041751414</v>
      </c>
      <c r="R165" s="11">
        <f t="shared" si="46"/>
        <v>0.54778390534620303</v>
      </c>
      <c r="S165" s="19">
        <f t="shared" si="47"/>
        <v>101.88780639439376</v>
      </c>
      <c r="T165" s="19">
        <f t="shared" si="48"/>
        <v>101.88780639439376</v>
      </c>
      <c r="U165" s="19">
        <f t="shared" si="49"/>
        <v>83.804000000000016</v>
      </c>
    </row>
    <row r="166" spans="14:21" x14ac:dyDescent="0.25">
      <c r="N166" s="10">
        <v>80</v>
      </c>
      <c r="O166" s="17">
        <f t="shared" si="45"/>
        <v>2.0543701950569648</v>
      </c>
      <c r="P166" s="17">
        <f t="shared" si="50"/>
        <v>80</v>
      </c>
      <c r="Q166" s="19">
        <f t="shared" si="51"/>
        <v>101.16207037707599</v>
      </c>
      <c r="R166" s="11">
        <f t="shared" si="46"/>
        <v>0.54663321951429145</v>
      </c>
      <c r="S166" s="19">
        <f t="shared" si="47"/>
        <v>101.6737788296582</v>
      </c>
      <c r="T166" s="19">
        <f t="shared" si="48"/>
        <v>101.6737788296582</v>
      </c>
      <c r="U166" s="19">
        <f t="shared" si="49"/>
        <v>83.804000000000016</v>
      </c>
    </row>
    <row r="167" spans="14:21" x14ac:dyDescent="0.25">
      <c r="N167" s="10">
        <v>80.5</v>
      </c>
      <c r="O167" s="17">
        <f t="shared" si="45"/>
        <v>2.0899744325567351</v>
      </c>
      <c r="P167" s="17">
        <f t="shared" si="50"/>
        <v>80.5</v>
      </c>
      <c r="Q167" s="19">
        <f t="shared" si="51"/>
        <v>101.63645637219345</v>
      </c>
      <c r="R167" s="11">
        <f t="shared" si="46"/>
        <v>0.54548469572397618</v>
      </c>
      <c r="S167" s="19">
        <f t="shared" si="47"/>
        <v>101.46015340465956</v>
      </c>
      <c r="T167" s="19">
        <f t="shared" si="48"/>
        <v>101.46015340465956</v>
      </c>
      <c r="U167" s="19">
        <f t="shared" si="49"/>
        <v>83.804000000000016</v>
      </c>
    </row>
    <row r="168" spans="14:21" x14ac:dyDescent="0.25">
      <c r="N168" s="10">
        <v>81</v>
      </c>
      <c r="O168" s="17">
        <f t="shared" si="45"/>
        <v>2.1255129170634213</v>
      </c>
      <c r="P168" s="17">
        <f t="shared" si="50"/>
        <v>81</v>
      </c>
      <c r="Q168" s="19">
        <f t="shared" si="51"/>
        <v>102.11034689262198</v>
      </c>
      <c r="R168" s="11">
        <f t="shared" si="46"/>
        <v>0.54433829299795411</v>
      </c>
      <c r="S168" s="19">
        <f t="shared" si="47"/>
        <v>101.24692249761947</v>
      </c>
      <c r="T168" s="19">
        <f t="shared" si="48"/>
        <v>101.24692249761947</v>
      </c>
      <c r="U168" s="19">
        <f t="shared" si="49"/>
        <v>83.804000000000016</v>
      </c>
    </row>
    <row r="169" spans="14:21" x14ac:dyDescent="0.25">
      <c r="N169" s="10">
        <v>81.5</v>
      </c>
      <c r="O169" s="17">
        <f t="shared" si="45"/>
        <v>2.1609869005041453</v>
      </c>
      <c r="P169" s="17">
        <f t="shared" si="50"/>
        <v>81.5</v>
      </c>
      <c r="Q169" s="19">
        <f t="shared" si="51"/>
        <v>102.58375031069625</v>
      </c>
      <c r="R169" s="11">
        <f t="shared" si="46"/>
        <v>0.54319397095147914</v>
      </c>
      <c r="S169" s="19">
        <f t="shared" si="47"/>
        <v>101.03407859697512</v>
      </c>
      <c r="T169" s="19">
        <f t="shared" si="48"/>
        <v>101.03407859697512</v>
      </c>
      <c r="U169" s="19">
        <f t="shared" si="49"/>
        <v>83.804000000000016</v>
      </c>
    </row>
    <row r="170" spans="14:21" x14ac:dyDescent="0.25">
      <c r="N170" s="10">
        <v>82</v>
      </c>
      <c r="O170" s="17">
        <f t="shared" si="45"/>
        <v>2.1963976168878716</v>
      </c>
      <c r="P170" s="17">
        <f t="shared" si="50"/>
        <v>82</v>
      </c>
      <c r="Q170" s="19">
        <f t="shared" si="51"/>
        <v>103.05667488362327</v>
      </c>
      <c r="R170" s="11">
        <f t="shared" si="46"/>
        <v>0.5420516897778106</v>
      </c>
      <c r="S170" s="19">
        <f t="shared" si="47"/>
        <v>100.82161429867277</v>
      </c>
      <c r="T170" s="19">
        <f t="shared" si="48"/>
        <v>100.82161429867277</v>
      </c>
      <c r="U170" s="19">
        <f t="shared" si="49"/>
        <v>83.804000000000016</v>
      </c>
    </row>
    <row r="171" spans="14:21" x14ac:dyDescent="0.25">
      <c r="N171" s="10">
        <v>82.5</v>
      </c>
      <c r="O171" s="17">
        <f t="shared" si="45"/>
        <v>2.2317462827439147</v>
      </c>
      <c r="P171" s="17">
        <f t="shared" si="50"/>
        <v>82.5</v>
      </c>
      <c r="Q171" s="19">
        <f t="shared" si="51"/>
        <v>103.52912875571668</v>
      </c>
      <c r="R171" s="11">
        <f t="shared" si="46"/>
        <v>0.5409114102340673</v>
      </c>
      <c r="S171" s="19">
        <f t="shared" si="47"/>
        <v>100.60952230353652</v>
      </c>
      <c r="T171" s="19">
        <f t="shared" si="48"/>
        <v>100.60952230353652</v>
      </c>
      <c r="U171" s="19">
        <f t="shared" si="49"/>
        <v>83.804000000000016</v>
      </c>
    </row>
    <row r="172" spans="14:21" x14ac:dyDescent="0.25">
      <c r="N172" s="10">
        <v>83</v>
      </c>
      <c r="O172" s="17">
        <f t="shared" si="45"/>
        <v>2.2670340975482581</v>
      </c>
      <c r="P172" s="17">
        <f t="shared" si="50"/>
        <v>83</v>
      </c>
      <c r="Q172" s="19">
        <f t="shared" si="51"/>
        <v>104.00111996057333</v>
      </c>
      <c r="R172" s="11">
        <f t="shared" si="46"/>
        <v>0.5397730936274755</v>
      </c>
      <c r="S172" s="19">
        <f t="shared" si="47"/>
        <v>100.39779541471044</v>
      </c>
      <c r="T172" s="19">
        <f t="shared" si="48"/>
        <v>100.39779541471044</v>
      </c>
      <c r="U172" s="19">
        <f t="shared" si="49"/>
        <v>83.804000000000016</v>
      </c>
    </row>
    <row r="173" spans="14:21" x14ac:dyDescent="0.25">
      <c r="N173" s="10">
        <v>83.5</v>
      </c>
      <c r="O173" s="17">
        <f t="shared" si="45"/>
        <v>2.3022622441381113</v>
      </c>
      <c r="P173" s="17">
        <f t="shared" si="50"/>
        <v>83.5</v>
      </c>
      <c r="Q173" s="19">
        <f t="shared" si="51"/>
        <v>104.47265642319451</v>
      </c>
      <c r="R173" s="11">
        <f t="shared" si="46"/>
        <v>0.5386367018019963</v>
      </c>
      <c r="S173" s="19">
        <f t="shared" si="47"/>
        <v>100.18642653517131</v>
      </c>
      <c r="T173" s="19">
        <f t="shared" si="48"/>
        <v>100.18642653517131</v>
      </c>
      <c r="U173" s="19">
        <f t="shared" si="49"/>
        <v>83.804000000000016</v>
      </c>
    </row>
    <row r="174" spans="14:21" x14ac:dyDescent="0.25">
      <c r="N174" s="10">
        <v>84</v>
      </c>
      <c r="O174" s="17">
        <f t="shared" si="45"/>
        <v>2.337431889115102</v>
      </c>
      <c r="P174" s="17">
        <f t="shared" si="50"/>
        <v>84</v>
      </c>
      <c r="Q174" s="19">
        <f t="shared" si="51"/>
        <v>104.9437459620529</v>
      </c>
      <c r="R174" s="11">
        <f t="shared" si="46"/>
        <v>0.53750219712531933</v>
      </c>
      <c r="S174" s="19">
        <f t="shared" si="47"/>
        <v>99.975408665309388</v>
      </c>
      <c r="T174" s="19">
        <f t="shared" si="48"/>
        <v>99.975408665309388</v>
      </c>
      <c r="U174" s="19">
        <f t="shared" si="49"/>
        <v>83.804000000000016</v>
      </c>
    </row>
    <row r="175" spans="14:21" x14ac:dyDescent="0.25">
      <c r="N175" s="10">
        <v>84.5</v>
      </c>
      <c r="O175" s="17">
        <f t="shared" si="45"/>
        <v>2.372544183237558</v>
      </c>
      <c r="P175" s="17">
        <f t="shared" si="50"/>
        <v>84.5</v>
      </c>
      <c r="Q175" s="19">
        <f t="shared" si="51"/>
        <v>105.41439629110802</v>
      </c>
      <c r="R175" s="11">
        <f t="shared" si="46"/>
        <v>0.53636954247620783</v>
      </c>
      <c r="S175" s="19">
        <f t="shared" si="47"/>
        <v>99.764734900574652</v>
      </c>
      <c r="T175" s="19">
        <f t="shared" si="48"/>
        <v>99.764734900574652</v>
      </c>
      <c r="U175" s="19">
        <f t="shared" si="49"/>
        <v>83.804000000000016</v>
      </c>
    </row>
    <row r="176" spans="14:21" x14ac:dyDescent="0.25">
      <c r="N176" s="10">
        <v>85</v>
      </c>
      <c r="O176" s="17">
        <f t="shared" si="45"/>
        <v>2.4076002618021164</v>
      </c>
      <c r="P176" s="17">
        <f t="shared" si="50"/>
        <v>85</v>
      </c>
      <c r="Q176" s="19">
        <f t="shared" si="51"/>
        <v>105.88461502176955</v>
      </c>
      <c r="R176" s="11">
        <f t="shared" si="46"/>
        <v>0.53523870123218975</v>
      </c>
      <c r="S176" s="19">
        <f t="shared" si="47"/>
        <v>99.554398429187287</v>
      </c>
      <c r="T176" s="19">
        <f t="shared" si="48"/>
        <v>99.554398429187287</v>
      </c>
      <c r="U176" s="19">
        <f t="shared" si="49"/>
        <v>83.804000000000016</v>
      </c>
    </row>
    <row r="177" spans="14:21" x14ac:dyDescent="0.25">
      <c r="N177" s="10">
        <v>85.5</v>
      </c>
      <c r="O177" s="17">
        <f t="shared" si="45"/>
        <v>2.4426012450152026</v>
      </c>
      <c r="P177" s="17">
        <f t="shared" si="50"/>
        <v>85.5</v>
      </c>
      <c r="Q177" s="19">
        <f t="shared" si="51"/>
        <v>106.35440966481283</v>
      </c>
      <c r="R177" s="11">
        <f t="shared" si="46"/>
        <v>0.53410963725757399</v>
      </c>
      <c r="S177" s="19">
        <f t="shared" si="47"/>
        <v>99.34439252990876</v>
      </c>
      <c r="T177" s="19">
        <f t="shared" si="48"/>
        <v>99.34439252990876</v>
      </c>
      <c r="U177" s="19">
        <f t="shared" si="49"/>
        <v>83.804000000000016</v>
      </c>
    </row>
    <row r="178" spans="14:21" x14ac:dyDescent="0.25">
      <c r="N178" s="10">
        <v>86</v>
      </c>
      <c r="O178" s="17">
        <f t="shared" si="45"/>
        <v>2.4775482383545668</v>
      </c>
      <c r="P178" s="17">
        <f t="shared" si="50"/>
        <v>86</v>
      </c>
      <c r="Q178" s="19">
        <f t="shared" si="51"/>
        <v>106.82378763224551</v>
      </c>
      <c r="R178" s="11">
        <f t="shared" si="46"/>
        <v>0.53298231489178816</v>
      </c>
      <c r="S178" s="19">
        <f t="shared" si="47"/>
        <v>99.134710569872595</v>
      </c>
      <c r="T178" s="19">
        <f t="shared" si="48"/>
        <v>99.134710569872595</v>
      </c>
      <c r="U178" s="19">
        <f t="shared" si="49"/>
        <v>83.804000000000016</v>
      </c>
    </row>
    <row r="179" spans="14:21" x14ac:dyDescent="0.25">
      <c r="N179" s="10">
        <v>86.5</v>
      </c>
      <c r="O179" s="17">
        <f t="shared" si="45"/>
        <v>2.5124423329213137</v>
      </c>
      <c r="P179" s="17">
        <f t="shared" si="50"/>
        <v>86.5</v>
      </c>
      <c r="Q179" s="19">
        <f t="shared" si="51"/>
        <v>107.29275623912824</v>
      </c>
      <c r="R179" s="11">
        <f t="shared" si="46"/>
        <v>0.53185669893802212</v>
      </c>
      <c r="S179" s="19">
        <f t="shared" si="47"/>
        <v>98.925346002472111</v>
      </c>
      <c r="T179" s="19">
        <f t="shared" si="48"/>
        <v>98.925346002472111</v>
      </c>
      <c r="U179" s="19">
        <f t="shared" si="49"/>
        <v>83.804000000000016</v>
      </c>
    </row>
    <row r="180" spans="14:21" x14ac:dyDescent="0.25">
      <c r="N180" s="10">
        <v>87</v>
      </c>
      <c r="O180" s="17">
        <f t="shared" si="45"/>
        <v>2.5472846057826999</v>
      </c>
      <c r="P180" s="17">
        <f t="shared" si="50"/>
        <v>87</v>
      </c>
      <c r="Q180" s="19">
        <f t="shared" si="51"/>
        <v>107.76132270535021</v>
      </c>
      <c r="R180" s="11">
        <f t="shared" si="46"/>
        <v>0.53073275465217096</v>
      </c>
      <c r="S180" s="19">
        <f t="shared" si="47"/>
        <v>98.716292365303801</v>
      </c>
      <c r="T180" s="19">
        <f t="shared" si="48"/>
        <v>98.716292365303801</v>
      </c>
      <c r="U180" s="19">
        <f t="shared" si="49"/>
        <v>83.804000000000016</v>
      </c>
    </row>
    <row r="181" spans="14:21" x14ac:dyDescent="0.25">
      <c r="N181" s="10">
        <v>87.5</v>
      </c>
      <c r="O181" s="17">
        <f t="shared" si="45"/>
        <v>2.5820761203060112</v>
      </c>
      <c r="P181" s="17">
        <f t="shared" si="50"/>
        <v>87.5</v>
      </c>
      <c r="Q181" s="19">
        <f t="shared" si="51"/>
        <v>108.22949415736083</v>
      </c>
      <c r="R181" s="11">
        <f t="shared" si="46"/>
        <v>0.52961044773206412</v>
      </c>
      <c r="S181" s="19">
        <f t="shared" si="47"/>
        <v>98.507543278163922</v>
      </c>
      <c r="T181" s="19">
        <f t="shared" si="48"/>
        <v>98.507543278163922</v>
      </c>
      <c r="U181" s="19">
        <f t="shared" si="49"/>
        <v>83.804000000000016</v>
      </c>
    </row>
    <row r="182" spans="14:21" x14ac:dyDescent="0.25">
      <c r="N182" s="10">
        <v>88</v>
      </c>
      <c r="O182" s="17">
        <f t="shared" si="45"/>
        <v>2.6168179264838596</v>
      </c>
      <c r="P182" s="17">
        <f t="shared" si="50"/>
        <v>88</v>
      </c>
      <c r="Q182" s="19">
        <f t="shared" si="51"/>
        <v>108.69727762985914</v>
      </c>
      <c r="R182" s="11">
        <f t="shared" si="46"/>
        <v>0.52848974430697215</v>
      </c>
      <c r="S182" s="19">
        <f t="shared" si="47"/>
        <v>98.299092441096818</v>
      </c>
      <c r="T182" s="19">
        <f t="shared" si="48"/>
        <v>98.299092441096818</v>
      </c>
      <c r="U182" s="19">
        <f t="shared" si="49"/>
        <v>83.804000000000016</v>
      </c>
    </row>
    <row r="183" spans="14:21" x14ac:dyDescent="0.25">
      <c r="N183" s="10">
        <v>88.5</v>
      </c>
      <c r="O183" s="17">
        <f t="shared" si="45"/>
        <v>2.651511061251087</v>
      </c>
      <c r="P183" s="17">
        <f t="shared" si="50"/>
        <v>88.5</v>
      </c>
      <c r="Q183" s="19">
        <f t="shared" si="51"/>
        <v>109.16468006744131</v>
      </c>
      <c r="R183" s="11">
        <f t="shared" si="46"/>
        <v>0.52737061092738435</v>
      </c>
      <c r="S183" s="19">
        <f t="shared" si="47"/>
        <v>98.090933632493488</v>
      </c>
      <c r="T183" s="19">
        <f t="shared" si="48"/>
        <v>98.090933632493488</v>
      </c>
      <c r="U183" s="19">
        <f t="shared" si="49"/>
        <v>83.804000000000016</v>
      </c>
    </row>
    <row r="184" spans="14:21" x14ac:dyDescent="0.25">
      <c r="N184" s="10">
        <v>89</v>
      </c>
      <c r="O184" s="17">
        <f t="shared" si="45"/>
        <v>2.6861565487936918</v>
      </c>
      <c r="P184" s="17">
        <f t="shared" si="50"/>
        <v>89</v>
      </c>
      <c r="Q184" s="19">
        <f t="shared" si="51"/>
        <v>109.63170832620887</v>
      </c>
      <c r="R184" s="11">
        <f t="shared" si="46"/>
        <v>0.52625301455504225</v>
      </c>
      <c r="S184" s="19">
        <f t="shared" si="47"/>
        <v>97.88306070723786</v>
      </c>
      <c r="T184" s="19">
        <f t="shared" si="48"/>
        <v>97.88306070723786</v>
      </c>
      <c r="U184" s="19">
        <f t="shared" si="49"/>
        <v>83.804000000000016</v>
      </c>
    </row>
    <row r="185" spans="14:21" x14ac:dyDescent="0.25">
      <c r="N185" s="10">
        <v>89.5</v>
      </c>
      <c r="O185" s="17">
        <f t="shared" si="45"/>
        <v>2.7207554008499208</v>
      </c>
      <c r="P185" s="17">
        <f t="shared" si="50"/>
        <v>89.5</v>
      </c>
      <c r="Q185" s="19">
        <f t="shared" si="51"/>
        <v>110.09836917533731</v>
      </c>
      <c r="R185" s="11">
        <f t="shared" si="46"/>
        <v>0.5251369225532283</v>
      </c>
      <c r="S185" s="19">
        <f t="shared" si="47"/>
        <v>97.675467594900468</v>
      </c>
      <c r="T185" s="19">
        <f t="shared" si="48"/>
        <v>97.675467594900468</v>
      </c>
      <c r="U185" s="19">
        <f t="shared" si="49"/>
        <v>83.804000000000016</v>
      </c>
    </row>
    <row r="186" spans="14:21" x14ac:dyDescent="0.25">
      <c r="N186" s="10">
        <v>90</v>
      </c>
      <c r="O186" s="17">
        <f t="shared" si="45"/>
        <v>2.7553086170038164</v>
      </c>
      <c r="P186" s="17">
        <f t="shared" si="50"/>
        <v>90</v>
      </c>
      <c r="Q186" s="19">
        <f t="shared" si="51"/>
        <v>110.5646692986067</v>
      </c>
      <c r="R186" s="11">
        <f t="shared" si="46"/>
        <v>0.52402230267729621</v>
      </c>
      <c r="S186" s="19">
        <f t="shared" si="47"/>
        <v>97.468148297977095</v>
      </c>
      <c r="T186" s="19">
        <f t="shared" si="48"/>
        <v>97.468148297977095</v>
      </c>
      <c r="U186" s="19">
        <f t="shared" si="49"/>
        <v>83.804000000000016</v>
      </c>
    </row>
    <row r="187" spans="14:21" x14ac:dyDescent="0.25">
      <c r="N187" s="10">
        <v>90.5</v>
      </c>
      <c r="O187" s="17">
        <f t="shared" si="45"/>
        <v>2.7898171849715343</v>
      </c>
      <c r="P187" s="17">
        <f t="shared" si="50"/>
        <v>90.5</v>
      </c>
      <c r="Q187" s="19">
        <f t="shared" si="51"/>
        <v>111.03061529589613</v>
      </c>
      <c r="R187" s="11">
        <f t="shared" si="46"/>
        <v>0.52290912306543447</v>
      </c>
      <c r="S187" s="19">
        <f t="shared" si="47"/>
        <v>97.261096890170805</v>
      </c>
      <c r="T187" s="19">
        <f t="shared" si="48"/>
        <v>97.261096890170805</v>
      </c>
      <c r="U187" s="19">
        <f t="shared" si="49"/>
        <v>83.804000000000016</v>
      </c>
    </row>
    <row r="188" spans="14:21" x14ac:dyDescent="0.25">
      <c r="N188" s="10">
        <v>91</v>
      </c>
      <c r="O188" s="17">
        <f t="shared" si="45"/>
        <v>2.8242820808805433</v>
      </c>
      <c r="P188" s="17">
        <f t="shared" si="50"/>
        <v>91</v>
      </c>
      <c r="Q188" s="19">
        <f t="shared" si="51"/>
        <v>111.49621368464143</v>
      </c>
      <c r="R188" s="11">
        <f t="shared" si="46"/>
        <v>0.52179735222965984</v>
      </c>
      <c r="S188" s="19">
        <f t="shared" si="47"/>
        <v>97.054307514716726</v>
      </c>
      <c r="T188" s="19">
        <f t="shared" si="48"/>
        <v>97.054307514716726</v>
      </c>
      <c r="U188" s="19">
        <f t="shared" si="49"/>
        <v>83.804000000000016</v>
      </c>
    </row>
    <row r="189" spans="14:21" x14ac:dyDescent="0.25">
      <c r="N189" s="10">
        <v>91.5</v>
      </c>
      <c r="O189" s="17">
        <f t="shared" si="45"/>
        <v>2.8587042695420593</v>
      </c>
      <c r="P189" s="17">
        <f t="shared" si="50"/>
        <v>91.5</v>
      </c>
      <c r="Q189" s="19">
        <f t="shared" si="51"/>
        <v>111.96147090125888</v>
      </c>
      <c r="R189" s="11">
        <f t="shared" si="46"/>
        <v>0.52068695904703033</v>
      </c>
      <c r="S189" s="19">
        <f t="shared" si="47"/>
        <v>96.847774382747644</v>
      </c>
      <c r="T189" s="19">
        <f t="shared" si="48"/>
        <v>96.847774382747644</v>
      </c>
      <c r="U189" s="19">
        <f t="shared" si="49"/>
        <v>83.804000000000016</v>
      </c>
    </row>
    <row r="190" spans="14:21" x14ac:dyDescent="0.25">
      <c r="N190" s="10">
        <v>92</v>
      </c>
      <c r="O190" s="17">
        <f t="shared" si="45"/>
        <v>2.8930847047168271</v>
      </c>
      <c r="P190" s="17">
        <f t="shared" si="50"/>
        <v>92</v>
      </c>
      <c r="Q190" s="19">
        <f t="shared" si="51"/>
        <v>112.42639330253415</v>
      </c>
      <c r="R190" s="11">
        <f t="shared" si="46"/>
        <v>0.51957791275107013</v>
      </c>
      <c r="S190" s="19">
        <f t="shared" si="47"/>
        <v>96.641491771699037</v>
      </c>
      <c r="T190" s="19">
        <f t="shared" si="48"/>
        <v>96.641491771699037</v>
      </c>
      <c r="U190" s="19">
        <f t="shared" si="49"/>
        <v>83.804000000000016</v>
      </c>
    </row>
    <row r="191" spans="14:21" x14ac:dyDescent="0.25">
      <c r="N191" s="10">
        <v>92.5</v>
      </c>
      <c r="O191" s="17">
        <f t="shared" si="45"/>
        <v>2.9274243293745688</v>
      </c>
      <c r="P191" s="17">
        <f t="shared" si="50"/>
        <v>92.5</v>
      </c>
      <c r="Q191" s="19">
        <f t="shared" si="51"/>
        <v>112.89098716697922</v>
      </c>
      <c r="R191" s="11">
        <f t="shared" si="46"/>
        <v>0.51847018292340108</v>
      </c>
      <c r="S191" s="19">
        <f t="shared" si="47"/>
        <v>96.435454023752598</v>
      </c>
      <c r="T191" s="19">
        <f t="shared" si="48"/>
        <v>96.435454023752598</v>
      </c>
      <c r="U191" s="19">
        <f t="shared" si="49"/>
        <v>83.804000000000016</v>
      </c>
    </row>
    <row r="192" spans="14:21" x14ac:dyDescent="0.25">
      <c r="N192" s="10">
        <v>93</v>
      </c>
      <c r="O192" s="17">
        <f t="shared" si="45"/>
        <v>2.9617240759471937</v>
      </c>
      <c r="P192" s="17">
        <f t="shared" si="50"/>
        <v>93</v>
      </c>
      <c r="Q192" s="19">
        <f t="shared" si="51"/>
        <v>113.35525869615635</v>
      </c>
      <c r="R192" s="11">
        <f t="shared" si="46"/>
        <v>0.51736373948557435</v>
      </c>
      <c r="S192" s="19">
        <f t="shared" si="47"/>
        <v>96.229655544316827</v>
      </c>
      <c r="T192" s="19">
        <f t="shared" si="48"/>
        <v>96.229655544316827</v>
      </c>
      <c r="U192" s="19">
        <f t="shared" si="49"/>
        <v>83.804000000000016</v>
      </c>
    </row>
    <row r="193" spans="14:21" x14ac:dyDescent="0.25">
      <c r="N193" s="10">
        <v>93.5</v>
      </c>
      <c r="O193" s="17">
        <f t="shared" si="45"/>
        <v>2.9959848665760394</v>
      </c>
      <c r="P193" s="17">
        <f t="shared" si="50"/>
        <v>93.5</v>
      </c>
      <c r="Q193" s="19">
        <f t="shared" si="51"/>
        <v>113.81921401597117</v>
      </c>
      <c r="R193" s="11">
        <f t="shared" si="46"/>
        <v>0.51625855269109555</v>
      </c>
      <c r="S193" s="19">
        <f t="shared" si="47"/>
        <v>96.024090800543775</v>
      </c>
      <c r="T193" s="19">
        <f t="shared" si="48"/>
        <v>96.024090800543775</v>
      </c>
      <c r="U193" s="19">
        <f t="shared" si="49"/>
        <v>83.804000000000016</v>
      </c>
    </row>
    <row r="194" spans="14:21" x14ac:dyDescent="0.25">
      <c r="N194" s="10">
        <v>94</v>
      </c>
      <c r="O194" s="17">
        <f t="shared" si="45"/>
        <v>3.0302076133533546</v>
      </c>
      <c r="P194" s="17">
        <f t="shared" si="50"/>
        <v>94</v>
      </c>
      <c r="Q194" s="19">
        <f t="shared" si="51"/>
        <v>114.28285917793576</v>
      </c>
      <c r="R194" s="11">
        <f t="shared" si="46"/>
        <v>0.51515459311763367</v>
      </c>
      <c r="S194" s="19">
        <f t="shared" si="47"/>
        <v>95.818754319879858</v>
      </c>
      <c r="T194" s="19">
        <f t="shared" si="48"/>
        <v>95.818754319879858</v>
      </c>
      <c r="U194" s="19">
        <f t="shared" si="49"/>
        <v>83.804000000000016</v>
      </c>
    </row>
    <row r="195" spans="14:21" x14ac:dyDescent="0.25">
      <c r="N195" s="10">
        <v>94.5</v>
      </c>
      <c r="O195" s="17">
        <f t="shared" si="45"/>
        <v>3.0643932185580951</v>
      </c>
      <c r="P195" s="17">
        <f t="shared" si="50"/>
        <v>94.5</v>
      </c>
      <c r="Q195" s="19">
        <f t="shared" si="51"/>
        <v>114.7462001604014</v>
      </c>
      <c r="R195" s="11">
        <f t="shared" si="46"/>
        <v>0.51405183165941626</v>
      </c>
      <c r="S195" s="19">
        <f t="shared" si="47"/>
        <v>95.613640688651429</v>
      </c>
      <c r="T195" s="19">
        <f t="shared" si="48"/>
        <v>95.613640688651429</v>
      </c>
      <c r="U195" s="19">
        <f t="shared" si="49"/>
        <v>83.804000000000016</v>
      </c>
    </row>
    <row r="196" spans="14:21" x14ac:dyDescent="0.25">
      <c r="N196" s="10">
        <v>95</v>
      </c>
      <c r="O196" s="17">
        <f t="shared" si="45"/>
        <v>3.0985425748863413</v>
      </c>
      <c r="P196" s="17">
        <f t="shared" si="50"/>
        <v>95</v>
      </c>
      <c r="Q196" s="19">
        <f t="shared" si="51"/>
        <v>115.20924286976296</v>
      </c>
      <c r="R196" s="11">
        <f t="shared" si="46"/>
        <v>0.51295023951979546</v>
      </c>
      <c r="S196" s="19">
        <f t="shared" si="47"/>
        <v>95.408744550681959</v>
      </c>
      <c r="T196" s="19">
        <f t="shared" si="48"/>
        <v>95.408744550681959</v>
      </c>
      <c r="U196" s="19">
        <f t="shared" si="49"/>
        <v>83.804000000000016</v>
      </c>
    </row>
    <row r="197" spans="14:21" x14ac:dyDescent="0.25">
      <c r="N197" s="10">
        <v>95.5</v>
      </c>
      <c r="O197" s="17">
        <f t="shared" si="45"/>
        <v>3.1326565656764256</v>
      </c>
      <c r="P197" s="17">
        <f t="shared" si="50"/>
        <v>95.5</v>
      </c>
      <c r="Q197" s="19">
        <f t="shared" si="51"/>
        <v>115.67199314163517</v>
      </c>
      <c r="R197" s="11">
        <f t="shared" si="46"/>
        <v>0.5118497882039863</v>
      </c>
      <c r="S197" s="19">
        <f t="shared" si="47"/>
        <v>95.20406060594145</v>
      </c>
      <c r="T197" s="19">
        <f t="shared" si="48"/>
        <v>95.20406060594145</v>
      </c>
      <c r="U197" s="19">
        <f t="shared" si="49"/>
        <v>83.804000000000016</v>
      </c>
    </row>
    <row r="198" spans="14:21" x14ac:dyDescent="0.25">
      <c r="N198" s="10">
        <v>96</v>
      </c>
      <c r="O198" s="17">
        <f t="shared" ref="O198:O261" si="52">IF(N198=0,$B$5,IF(N198&gt;$B$9,NA(),-($B$6-$B$5)*(1-(N198/$B$9))^(0.985*((N198/$B$9)^(-0.625)))+$B$6))</f>
        <v>3.1667360651289922</v>
      </c>
      <c r="P198" s="17">
        <f t="shared" si="50"/>
        <v>96</v>
      </c>
      <c r="Q198" s="19">
        <f t="shared" si="51"/>
        <v>116.13445674200179</v>
      </c>
      <c r="R198" s="11">
        <f t="shared" ref="R198:R261" si="53">$B$13*($B$8-O198)</f>
        <v>0.51075044951196802</v>
      </c>
      <c r="S198" s="19">
        <f t="shared" ref="S198:S261" si="54">R198*$B$20</f>
        <v>94.99958360922605</v>
      </c>
      <c r="T198" s="19">
        <f t="shared" ref="T198:T261" si="55">R198*$B$20</f>
        <v>94.99958360922605</v>
      </c>
      <c r="U198" s="19">
        <f t="shared" ref="U198:U261" si="56">$B$21/2</f>
        <v>83.804000000000016</v>
      </c>
    </row>
    <row r="199" spans="14:21" x14ac:dyDescent="0.25">
      <c r="N199" s="10">
        <v>96.5</v>
      </c>
      <c r="O199" s="17">
        <f t="shared" si="52"/>
        <v>3.2007819385220504</v>
      </c>
      <c r="P199" s="17">
        <f t="shared" ref="P199:P262" si="57">N199</f>
        <v>96.5</v>
      </c>
      <c r="Q199" s="19">
        <f t="shared" si="51"/>
        <v>116.59663936833743</v>
      </c>
      <c r="R199" s="11">
        <f t="shared" si="53"/>
        <v>0.50965219553154673</v>
      </c>
      <c r="S199" s="19">
        <f t="shared" si="54"/>
        <v>94.795308368867694</v>
      </c>
      <c r="T199" s="19">
        <f t="shared" si="55"/>
        <v>94.795308368867694</v>
      </c>
      <c r="U199" s="19">
        <f t="shared" si="56"/>
        <v>83.804000000000016</v>
      </c>
    </row>
    <row r="200" spans="14:21" x14ac:dyDescent="0.25">
      <c r="N200" s="10">
        <v>97</v>
      </c>
      <c r="O200" s="17">
        <f t="shared" si="52"/>
        <v>3.2347950424213199</v>
      </c>
      <c r="P200" s="17">
        <f t="shared" si="57"/>
        <v>97</v>
      </c>
      <c r="Q200" s="19">
        <f t="shared" si="51"/>
        <v>117.05854665070426</v>
      </c>
      <c r="R200" s="11">
        <f t="shared" si="53"/>
        <v>0.50855499863157028</v>
      </c>
      <c r="S200" s="19">
        <f t="shared" si="54"/>
        <v>94.591229745472077</v>
      </c>
      <c r="T200" s="19">
        <f t="shared" si="55"/>
        <v>94.591229745472077</v>
      </c>
      <c r="U200" s="19">
        <f t="shared" si="56"/>
        <v>83.804000000000016</v>
      </c>
    </row>
    <row r="201" spans="14:21" x14ac:dyDescent="0.25">
      <c r="N201" s="10">
        <v>97.5</v>
      </c>
      <c r="O201" s="17">
        <f t="shared" si="52"/>
        <v>3.2687762248859045</v>
      </c>
      <c r="P201" s="17">
        <f t="shared" si="57"/>
        <v>97.5</v>
      </c>
      <c r="Q201" s="19">
        <f t="shared" si="51"/>
        <v>117.52018415282313</v>
      </c>
      <c r="R201" s="11">
        <f t="shared" si="53"/>
        <v>0.50745883145529336</v>
      </c>
      <c r="S201" s="19">
        <f t="shared" si="54"/>
        <v>94.387342650684559</v>
      </c>
      <c r="T201" s="19">
        <f t="shared" si="55"/>
        <v>94.387342650684559</v>
      </c>
      <c r="U201" s="19">
        <f t="shared" si="56"/>
        <v>83.804000000000016</v>
      </c>
    </row>
    <row r="202" spans="14:21" x14ac:dyDescent="0.25">
      <c r="N202" s="10">
        <v>98</v>
      </c>
      <c r="O202" s="17">
        <f t="shared" si="52"/>
        <v>3.3027263256694663</v>
      </c>
      <c r="P202" s="17">
        <f t="shared" si="57"/>
        <v>98</v>
      </c>
      <c r="Q202" s="19">
        <f t="shared" si="51"/>
        <v>117.98155737311994</v>
      </c>
      <c r="R202" s="11">
        <f t="shared" si="53"/>
        <v>0.50636366691388812</v>
      </c>
      <c r="S202" s="19">
        <f t="shared" si="54"/>
        <v>94.183642045983191</v>
      </c>
      <c r="T202" s="19">
        <f t="shared" si="55"/>
        <v>94.183642045983191</v>
      </c>
      <c r="U202" s="19">
        <f t="shared" si="56"/>
        <v>83.804000000000016</v>
      </c>
    </row>
    <row r="203" spans="14:21" x14ac:dyDescent="0.25">
      <c r="N203" s="10">
        <v>98.5</v>
      </c>
      <c r="O203" s="17">
        <f t="shared" si="52"/>
        <v>3.3366461764170676</v>
      </c>
      <c r="P203" s="17">
        <f t="shared" si="57"/>
        <v>98.5</v>
      </c>
      <c r="Q203" s="19">
        <f t="shared" si="51"/>
        <v>118.44267174574804</v>
      </c>
      <c r="R203" s="11">
        <f t="shared" si="53"/>
        <v>0.5052694781800946</v>
      </c>
      <c r="S203" s="19">
        <f t="shared" si="54"/>
        <v>93.980122941497598</v>
      </c>
      <c r="T203" s="19">
        <f t="shared" si="55"/>
        <v>93.980122941497598</v>
      </c>
      <c r="U203" s="19">
        <f t="shared" si="56"/>
        <v>83.804000000000016</v>
      </c>
    </row>
    <row r="204" spans="14:21" x14ac:dyDescent="0.25">
      <c r="N204" s="10">
        <v>99</v>
      </c>
      <c r="O204" s="17">
        <f t="shared" si="52"/>
        <v>3.3705366008577808</v>
      </c>
      <c r="P204" s="17">
        <f t="shared" si="57"/>
        <v>99</v>
      </c>
      <c r="Q204" s="19">
        <f t="shared" si="51"/>
        <v>118.90353264158733</v>
      </c>
      <c r="R204" s="11">
        <f t="shared" si="53"/>
        <v>0.50417623868200701</v>
      </c>
      <c r="S204" s="19">
        <f t="shared" si="54"/>
        <v>93.776780394853304</v>
      </c>
      <c r="T204" s="19">
        <f t="shared" si="55"/>
        <v>93.776780394853304</v>
      </c>
      <c r="U204" s="19">
        <f t="shared" si="56"/>
        <v>83.804000000000016</v>
      </c>
    </row>
    <row r="205" spans="14:21" x14ac:dyDescent="0.25">
      <c r="N205" s="10">
        <v>99.5</v>
      </c>
      <c r="O205" s="17">
        <f t="shared" si="52"/>
        <v>3.4043984149932456</v>
      </c>
      <c r="P205" s="17">
        <f t="shared" si="57"/>
        <v>99.5</v>
      </c>
      <c r="Q205" s="19">
        <f t="shared" si="51"/>
        <v>119.36414536922072</v>
      </c>
      <c r="R205" s="11">
        <f t="shared" si="53"/>
        <v>0.50308392209699204</v>
      </c>
      <c r="S205" s="19">
        <f t="shared" si="54"/>
        <v>93.573609510040527</v>
      </c>
      <c r="T205" s="19">
        <f t="shared" si="55"/>
        <v>93.573609510040527</v>
      </c>
      <c r="U205" s="19">
        <f t="shared" si="56"/>
        <v>83.804000000000016</v>
      </c>
    </row>
    <row r="206" spans="14:21" x14ac:dyDescent="0.25">
      <c r="N206" s="10">
        <v>100</v>
      </c>
      <c r="O206" s="17">
        <f t="shared" si="52"/>
        <v>3.4382324272821947</v>
      </c>
      <c r="P206" s="17">
        <f t="shared" si="57"/>
        <v>100</v>
      </c>
      <c r="Q206" s="19">
        <f t="shared" si="51"/>
        <v>119.82451517588754</v>
      </c>
      <c r="R206" s="11">
        <f t="shared" si="53"/>
        <v>0.50199250234573567</v>
      </c>
      <c r="S206" s="19">
        <f t="shared" si="54"/>
        <v>93.370605436306832</v>
      </c>
      <c r="T206" s="19">
        <f t="shared" si="55"/>
        <v>93.370605436306832</v>
      </c>
      <c r="U206" s="19">
        <f t="shared" si="56"/>
        <v>83.804000000000016</v>
      </c>
    </row>
    <row r="207" spans="14:21" x14ac:dyDescent="0.25">
      <c r="N207" s="10">
        <v>100.5</v>
      </c>
      <c r="O207" s="17">
        <f t="shared" si="52"/>
        <v>3.4720394388212465</v>
      </c>
      <c r="P207" s="17">
        <f t="shared" si="57"/>
        <v>100.5</v>
      </c>
      <c r="Q207" s="19">
        <f t="shared" si="51"/>
        <v>120.28464724841642</v>
      </c>
      <c r="R207" s="11">
        <f t="shared" si="53"/>
        <v>0.50090195358641143</v>
      </c>
      <c r="S207" s="19">
        <f t="shared" si="54"/>
        <v>93.167763367072524</v>
      </c>
      <c r="T207" s="19">
        <f t="shared" si="55"/>
        <v>93.167763367072524</v>
      </c>
      <c r="U207" s="19">
        <f t="shared" si="56"/>
        <v>83.804000000000016</v>
      </c>
    </row>
    <row r="208" spans="14:21" x14ac:dyDescent="0.25">
      <c r="N208" s="10">
        <v>101</v>
      </c>
      <c r="O208" s="17">
        <f t="shared" si="52"/>
        <v>3.505820243521887</v>
      </c>
      <c r="P208" s="17">
        <f t="shared" si="57"/>
        <v>101</v>
      </c>
      <c r="Q208" s="19">
        <f t="shared" si="51"/>
        <v>120.74454671413604</v>
      </c>
      <c r="R208" s="11">
        <f t="shared" si="53"/>
        <v>0.49981225020897135</v>
      </c>
      <c r="S208" s="19">
        <f t="shared" si="54"/>
        <v>92.965078538868667</v>
      </c>
      <c r="T208" s="19">
        <f t="shared" si="55"/>
        <v>92.965078538868667</v>
      </c>
      <c r="U208" s="19">
        <f t="shared" si="56"/>
        <v>83.804000000000016</v>
      </c>
    </row>
    <row r="209" spans="14:21" x14ac:dyDescent="0.25">
      <c r="N209" s="10">
        <v>101.5</v>
      </c>
      <c r="O209" s="17">
        <f t="shared" si="52"/>
        <v>3.5395756282838846</v>
      </c>
      <c r="P209" s="17">
        <f t="shared" si="57"/>
        <v>101.5</v>
      </c>
      <c r="Q209" s="19">
        <f t="shared" si="51"/>
        <v>121.20421864176538</v>
      </c>
      <c r="R209" s="11">
        <f t="shared" si="53"/>
        <v>0.49872336682955209</v>
      </c>
      <c r="S209" s="19">
        <f t="shared" si="54"/>
        <v>92.762546230296692</v>
      </c>
      <c r="T209" s="19">
        <f t="shared" si="55"/>
        <v>92.762546230296692</v>
      </c>
      <c r="U209" s="19">
        <f t="shared" si="56"/>
        <v>83.804000000000016</v>
      </c>
    </row>
    <row r="210" spans="14:21" x14ac:dyDescent="0.25">
      <c r="N210" s="10">
        <v>102</v>
      </c>
      <c r="O210" s="17">
        <f t="shared" si="52"/>
        <v>3.5733063731652308</v>
      </c>
      <c r="P210" s="17">
        <f t="shared" si="57"/>
        <v>102</v>
      </c>
      <c r="Q210" s="19">
        <f t="shared" si="51"/>
        <v>121.66366804228434</v>
      </c>
      <c r="R210" s="11">
        <f t="shared" si="53"/>
        <v>0.49763527828499254</v>
      </c>
      <c r="S210" s="19">
        <f t="shared" si="54"/>
        <v>92.560161761008615</v>
      </c>
      <c r="T210" s="19">
        <f t="shared" si="55"/>
        <v>92.560161761008615</v>
      </c>
      <c r="U210" s="19">
        <f t="shared" si="56"/>
        <v>83.804000000000016</v>
      </c>
    </row>
    <row r="211" spans="14:21" x14ac:dyDescent="0.25">
      <c r="N211" s="10">
        <v>102.5</v>
      </c>
      <c r="O211" s="17">
        <f t="shared" si="52"/>
        <v>3.607013251548647</v>
      </c>
      <c r="P211" s="17">
        <f t="shared" si="57"/>
        <v>102.5</v>
      </c>
      <c r="Q211" s="19">
        <f t="shared" si="51"/>
        <v>122.12289986978381</v>
      </c>
      <c r="R211" s="11">
        <f t="shared" si="53"/>
        <v>0.49654795962746301</v>
      </c>
      <c r="S211" s="19">
        <f t="shared" si="54"/>
        <v>92.357920490708125</v>
      </c>
      <c r="T211" s="19">
        <f t="shared" si="55"/>
        <v>92.357920490708125</v>
      </c>
      <c r="U211" s="19">
        <f t="shared" si="56"/>
        <v>83.804000000000016</v>
      </c>
    </row>
    <row r="212" spans="14:21" x14ac:dyDescent="0.25">
      <c r="N212" s="10">
        <v>103</v>
      </c>
      <c r="O212" s="17">
        <f t="shared" si="52"/>
        <v>3.6406970303048851</v>
      </c>
      <c r="P212" s="17">
        <f t="shared" si="57"/>
        <v>103</v>
      </c>
      <c r="Q212" s="19">
        <f t="shared" si="51"/>
        <v>122.58191902229751</v>
      </c>
      <c r="R212" s="11">
        <f t="shared" si="53"/>
        <v>0.49546138611919727</v>
      </c>
      <c r="S212" s="19">
        <f t="shared" si="54"/>
        <v>92.155817818170689</v>
      </c>
      <c r="T212" s="19">
        <f t="shared" si="55"/>
        <v>92.155817818170689</v>
      </c>
      <c r="U212" s="19">
        <f t="shared" si="56"/>
        <v>83.804000000000016</v>
      </c>
    </row>
    <row r="213" spans="14:21" x14ac:dyDescent="0.25">
      <c r="N213" s="10">
        <v>103.5</v>
      </c>
      <c r="O213" s="17">
        <f t="shared" si="52"/>
        <v>3.6743584699527396</v>
      </c>
      <c r="P213" s="17">
        <f t="shared" si="57"/>
        <v>103.5</v>
      </c>
      <c r="Q213" s="19">
        <f t="shared" si="51"/>
        <v>123.04073034261386</v>
      </c>
      <c r="R213" s="11">
        <f t="shared" si="53"/>
        <v>0.49437553322733097</v>
      </c>
      <c r="S213" s="19">
        <f t="shared" si="54"/>
        <v>91.953849180283555</v>
      </c>
      <c r="T213" s="19">
        <f t="shared" si="55"/>
        <v>91.953849180283555</v>
      </c>
      <c r="U213" s="19">
        <f t="shared" si="56"/>
        <v>83.804000000000016</v>
      </c>
    </row>
    <row r="214" spans="14:21" x14ac:dyDescent="0.25">
      <c r="N214" s="10">
        <v>104</v>
      </c>
      <c r="O214" s="17">
        <f t="shared" si="52"/>
        <v>3.7079983248161135</v>
      </c>
      <c r="P214" s="17">
        <f t="shared" si="57"/>
        <v>104</v>
      </c>
      <c r="Q214" s="19">
        <f t="shared" si="51"/>
        <v>123.49933861907095</v>
      </c>
      <c r="R214" s="11">
        <f t="shared" si="53"/>
        <v>0.49329037661883501</v>
      </c>
      <c r="S214" s="19">
        <f t="shared" si="54"/>
        <v>91.752010051103312</v>
      </c>
      <c r="T214" s="19">
        <f t="shared" si="55"/>
        <v>91.752010051103312</v>
      </c>
      <c r="U214" s="19">
        <f t="shared" si="56"/>
        <v>83.804000000000016</v>
      </c>
    </row>
    <row r="215" spans="14:21" x14ac:dyDescent="0.25">
      <c r="N215" s="10">
        <v>104.5</v>
      </c>
      <c r="O215" s="17">
        <f t="shared" si="52"/>
        <v>3.7416173431779676</v>
      </c>
      <c r="P215" s="17">
        <f t="shared" si="57"/>
        <v>104.5</v>
      </c>
      <c r="Q215" s="19">
        <f t="shared" si="51"/>
        <v>123.95774858633222</v>
      </c>
      <c r="R215" s="11">
        <f t="shared" si="53"/>
        <v>0.49220589215554944</v>
      </c>
      <c r="S215" s="19">
        <f t="shared" si="54"/>
        <v>91.550295940932202</v>
      </c>
      <c r="T215" s="19">
        <f t="shared" si="55"/>
        <v>91.550295940932202</v>
      </c>
      <c r="U215" s="19">
        <f t="shared" si="56"/>
        <v>83.804000000000016</v>
      </c>
    </row>
    <row r="216" spans="14:21" x14ac:dyDescent="0.25">
      <c r="N216" s="10">
        <v>105</v>
      </c>
      <c r="O216" s="17">
        <f t="shared" si="52"/>
        <v>3.7752162674314622</v>
      </c>
      <c r="P216" s="17">
        <f t="shared" si="57"/>
        <v>105</v>
      </c>
      <c r="Q216" s="19">
        <f t="shared" si="51"/>
        <v>124.41596492614548</v>
      </c>
      <c r="R216" s="11">
        <f t="shared" si="53"/>
        <v>0.49112205588930763</v>
      </c>
      <c r="S216" s="19">
        <f t="shared" si="54"/>
        <v>91.348702395411223</v>
      </c>
      <c r="T216" s="19">
        <f t="shared" si="55"/>
        <v>91.348702395411223</v>
      </c>
      <c r="U216" s="19">
        <f t="shared" si="56"/>
        <v>83.804000000000016</v>
      </c>
    </row>
    <row r="217" spans="14:21" x14ac:dyDescent="0.25">
      <c r="N217" s="10">
        <v>105.5</v>
      </c>
      <c r="O217" s="17">
        <f t="shared" si="52"/>
        <v>3.8087958342282668</v>
      </c>
      <c r="P217" s="17">
        <f t="shared" si="57"/>
        <v>105.5</v>
      </c>
      <c r="Q217" s="19">
        <f t="shared" si="51"/>
        <v>124.87399226808475</v>
      </c>
      <c r="R217" s="11">
        <f t="shared" si="53"/>
        <v>0.49003884405715264</v>
      </c>
      <c r="S217" s="19">
        <f t="shared" si="54"/>
        <v>91.147224994630392</v>
      </c>
      <c r="T217" s="19">
        <f t="shared" si="55"/>
        <v>91.147224994630392</v>
      </c>
      <c r="U217" s="19">
        <f t="shared" si="56"/>
        <v>83.804000000000016</v>
      </c>
    </row>
    <row r="218" spans="14:21" x14ac:dyDescent="0.25">
      <c r="N218" s="10">
        <v>106</v>
      </c>
      <c r="O218" s="17">
        <f t="shared" si="52"/>
        <v>3.8423567746241467</v>
      </c>
      <c r="P218" s="17">
        <f t="shared" si="57"/>
        <v>106</v>
      </c>
      <c r="Q218" s="19">
        <f t="shared" si="51"/>
        <v>125.33183519027517</v>
      </c>
      <c r="R218" s="11">
        <f t="shared" si="53"/>
        <v>0.48895623307664043</v>
      </c>
      <c r="S218" s="19">
        <f t="shared" si="54"/>
        <v>90.945859352255127</v>
      </c>
      <c r="T218" s="19">
        <f t="shared" si="55"/>
        <v>90.945859352255127</v>
      </c>
      <c r="U218" s="19">
        <f t="shared" si="56"/>
        <v>83.804000000000016</v>
      </c>
    </row>
    <row r="219" spans="14:21" x14ac:dyDescent="0.25">
      <c r="N219" s="10">
        <v>106.5</v>
      </c>
      <c r="O219" s="17">
        <f t="shared" si="52"/>
        <v>3.8758998142219276</v>
      </c>
      <c r="P219" s="17">
        <f t="shared" si="57"/>
        <v>106.5</v>
      </c>
      <c r="Q219" s="19">
        <f t="shared" si="51"/>
        <v>125.78949822010176</v>
      </c>
      <c r="R219" s="11">
        <f t="shared" si="53"/>
        <v>0.48787419954122813</v>
      </c>
      <c r="S219" s="19">
        <f t="shared" si="54"/>
        <v>90.744601114668427</v>
      </c>
      <c r="T219" s="19">
        <f t="shared" si="55"/>
        <v>90.744601114668427</v>
      </c>
      <c r="U219" s="19">
        <f t="shared" si="56"/>
        <v>83.804000000000016</v>
      </c>
    </row>
    <row r="220" spans="14:21" x14ac:dyDescent="0.25">
      <c r="N220" s="10">
        <v>107</v>
      </c>
      <c r="O220" s="17">
        <f t="shared" si="52"/>
        <v>3.9094256733118922</v>
      </c>
      <c r="P220" s="17">
        <f t="shared" si="57"/>
        <v>107</v>
      </c>
      <c r="Q220" s="19">
        <f t="shared" si="51"/>
        <v>126.24698583490198</v>
      </c>
      <c r="R220" s="11">
        <f t="shared" si="53"/>
        <v>0.48679272021574538</v>
      </c>
      <c r="S220" s="19">
        <f t="shared" si="54"/>
        <v>90.543445960128636</v>
      </c>
      <c r="T220" s="19">
        <f t="shared" si="55"/>
        <v>90.543445960128636</v>
      </c>
      <c r="U220" s="19">
        <f t="shared" si="56"/>
        <v>83.804000000000016</v>
      </c>
    </row>
    <row r="221" spans="14:21" x14ac:dyDescent="0.25">
      <c r="N221" s="10">
        <v>107.5</v>
      </c>
      <c r="O221" s="17">
        <f t="shared" si="52"/>
        <v>3.9429350670097403</v>
      </c>
      <c r="P221" s="17">
        <f t="shared" si="57"/>
        <v>107.5</v>
      </c>
      <c r="Q221" s="19">
        <f t="shared" si="51"/>
        <v>126.70430246264317</v>
      </c>
      <c r="R221" s="11">
        <f t="shared" si="53"/>
        <v>0.48571177203194382</v>
      </c>
      <c r="S221" s="19">
        <f t="shared" si="54"/>
        <v>90.342389597941548</v>
      </c>
      <c r="T221" s="19">
        <f t="shared" si="55"/>
        <v>90.342389597941548</v>
      </c>
      <c r="U221" s="19">
        <f t="shared" si="56"/>
        <v>83.804000000000016</v>
      </c>
    </row>
    <row r="222" spans="14:21" x14ac:dyDescent="0.25">
      <c r="N222" s="10">
        <v>108</v>
      </c>
      <c r="O222" s="17">
        <f t="shared" si="52"/>
        <v>3.9764287053921059</v>
      </c>
      <c r="P222" s="17">
        <f t="shared" si="57"/>
        <v>108</v>
      </c>
      <c r="Q222" s="19">
        <f t="shared" si="51"/>
        <v>127.16145248258411</v>
      </c>
      <c r="R222" s="11">
        <f t="shared" si="53"/>
        <v>0.48463133208412562</v>
      </c>
      <c r="S222" s="19">
        <f t="shared" si="54"/>
        <v>90.141427767647372</v>
      </c>
      <c r="T222" s="19">
        <f t="shared" si="55"/>
        <v>90.141427767647372</v>
      </c>
      <c r="U222" s="19">
        <f t="shared" si="56"/>
        <v>83.804000000000016</v>
      </c>
    </row>
    <row r="223" spans="14:21" x14ac:dyDescent="0.25">
      <c r="N223" s="10">
        <v>108.5</v>
      </c>
      <c r="O223" s="17">
        <f t="shared" si="52"/>
        <v>4.0099072936298157</v>
      </c>
      <c r="P223" s="17">
        <f t="shared" si="57"/>
        <v>108.5</v>
      </c>
      <c r="Q223" s="19">
        <f t="shared" ref="Q223:Q286" si="58" xml:space="preserve"> -0.0232*O223^3 + 0.296*O223^2 + 12.396*O223 + 74.648</f>
        <v>127.61844022592233</v>
      </c>
      <c r="R223" s="11">
        <f t="shared" si="53"/>
        <v>0.48355137762484462</v>
      </c>
      <c r="S223" s="19">
        <f t="shared" si="54"/>
        <v>89.940556238221106</v>
      </c>
      <c r="T223" s="19">
        <f t="shared" si="55"/>
        <v>89.940556238221106</v>
      </c>
      <c r="U223" s="19">
        <f t="shared" si="56"/>
        <v>83.804000000000016</v>
      </c>
    </row>
    <row r="224" spans="14:21" x14ac:dyDescent="0.25">
      <c r="N224" s="10">
        <v>109</v>
      </c>
      <c r="O224" s="17">
        <f t="shared" si="52"/>
        <v>4.0433715321188348</v>
      </c>
      <c r="P224" s="17">
        <f t="shared" si="57"/>
        <v>109</v>
      </c>
      <c r="Q224" s="19">
        <f t="shared" si="58"/>
        <v>128.07526997642606</v>
      </c>
      <c r="R224" s="11">
        <f t="shared" si="53"/>
        <v>0.48247188606068275</v>
      </c>
      <c r="S224" s="19">
        <f t="shared" si="54"/>
        <v>89.739770807286988</v>
      </c>
      <c r="T224" s="19">
        <f t="shared" si="55"/>
        <v>89.739770807286988</v>
      </c>
      <c r="U224" s="19">
        <f t="shared" si="56"/>
        <v>83.804000000000016</v>
      </c>
    </row>
    <row r="225" spans="14:21" x14ac:dyDescent="0.25">
      <c r="N225" s="10">
        <v>109.5</v>
      </c>
      <c r="O225" s="17">
        <f t="shared" si="52"/>
        <v>4.0768221166090974</v>
      </c>
      <c r="P225" s="17">
        <f t="shared" si="57"/>
        <v>109.5</v>
      </c>
      <c r="Q225" s="19">
        <f t="shared" si="58"/>
        <v>128.53194597105261</v>
      </c>
      <c r="R225" s="11">
        <f t="shared" si="53"/>
        <v>0.4813928349480936</v>
      </c>
      <c r="S225" s="19">
        <f t="shared" si="54"/>
        <v>89.539067300345408</v>
      </c>
      <c r="T225" s="19">
        <f t="shared" si="55"/>
        <v>89.539067300345408</v>
      </c>
      <c r="U225" s="19">
        <f t="shared" si="56"/>
        <v>83.804000000000016</v>
      </c>
    </row>
    <row r="226" spans="14:21" x14ac:dyDescent="0.25">
      <c r="N226" s="10">
        <v>110</v>
      </c>
      <c r="O226" s="17">
        <f t="shared" si="52"/>
        <v>4.1102597383312087</v>
      </c>
      <c r="P226" s="17">
        <f t="shared" si="57"/>
        <v>110</v>
      </c>
      <c r="Q226" s="19">
        <f t="shared" si="58"/>
        <v>128.98847240055238</v>
      </c>
      <c r="R226" s="11">
        <f t="shared" si="53"/>
        <v>0.48031420198931585</v>
      </c>
      <c r="S226" s="19">
        <f t="shared" si="54"/>
        <v>89.338441570012748</v>
      </c>
      <c r="T226" s="19">
        <f t="shared" si="55"/>
        <v>89.338441570012748</v>
      </c>
      <c r="U226" s="19">
        <f t="shared" si="56"/>
        <v>83.804000000000016</v>
      </c>
    </row>
    <row r="227" spans="14:21" x14ac:dyDescent="0.25">
      <c r="N227" s="10">
        <v>110.5</v>
      </c>
      <c r="O227" s="17">
        <f t="shared" si="52"/>
        <v>4.1436850841211008</v>
      </c>
      <c r="P227" s="17">
        <f t="shared" si="57"/>
        <v>110.5</v>
      </c>
      <c r="Q227" s="19">
        <f t="shared" si="58"/>
        <v>129.44485341005912</v>
      </c>
      <c r="R227" s="11">
        <f t="shared" si="53"/>
        <v>0.47923596502835158</v>
      </c>
      <c r="S227" s="19">
        <f t="shared" si="54"/>
        <v>89.137889495273399</v>
      </c>
      <c r="T227" s="19">
        <f t="shared" si="55"/>
        <v>89.137889495273399</v>
      </c>
      <c r="U227" s="19">
        <f t="shared" si="56"/>
        <v>83.804000000000016</v>
      </c>
    </row>
    <row r="228" spans="14:21" x14ac:dyDescent="0.25">
      <c r="N228" s="10">
        <v>111</v>
      </c>
      <c r="O228" s="17">
        <f t="shared" si="52"/>
        <v>4.1770988365427524</v>
      </c>
      <c r="P228" s="17">
        <f t="shared" si="57"/>
        <v>111</v>
      </c>
      <c r="Q228" s="19">
        <f t="shared" si="58"/>
        <v>129.90109309966743</v>
      </c>
      <c r="R228" s="11">
        <f t="shared" si="53"/>
        <v>0.47815810204700798</v>
      </c>
      <c r="S228" s="19">
        <f t="shared" si="54"/>
        <v>88.937406980743489</v>
      </c>
      <c r="T228" s="19">
        <f t="shared" si="55"/>
        <v>88.937406980743489</v>
      </c>
      <c r="U228" s="19">
        <f t="shared" si="56"/>
        <v>83.804000000000016</v>
      </c>
    </row>
    <row r="229" spans="14:21" x14ac:dyDescent="0.25">
      <c r="N229" s="10">
        <v>111.5</v>
      </c>
      <c r="O229" s="17">
        <f t="shared" si="52"/>
        <v>4.2105016740089347</v>
      </c>
      <c r="P229" s="17">
        <f t="shared" si="57"/>
        <v>111.5</v>
      </c>
      <c r="Q229" s="19">
        <f t="shared" si="58"/>
        <v>130.35719552499577</v>
      </c>
      <c r="R229" s="11">
        <f t="shared" si="53"/>
        <v>0.4770805911610021</v>
      </c>
      <c r="S229" s="19">
        <f t="shared" si="54"/>
        <v>88.736989955946385</v>
      </c>
      <c r="T229" s="19">
        <f t="shared" si="55"/>
        <v>88.736989955946385</v>
      </c>
      <c r="U229" s="19">
        <f t="shared" si="56"/>
        <v>83.804000000000016</v>
      </c>
    </row>
    <row r="230" spans="14:21" x14ac:dyDescent="0.25">
      <c r="N230" s="10">
        <v>112</v>
      </c>
      <c r="O230" s="17">
        <f t="shared" si="52"/>
        <v>4.2438942709002045</v>
      </c>
      <c r="P230" s="17">
        <f t="shared" si="57"/>
        <v>112</v>
      </c>
      <c r="Q230" s="19">
        <f t="shared" si="58"/>
        <v>130.81316469773844</v>
      </c>
      <c r="R230" s="11">
        <f t="shared" si="53"/>
        <v>0.47600341061612245</v>
      </c>
      <c r="S230" s="19">
        <f t="shared" si="54"/>
        <v>88.536634374598776</v>
      </c>
      <c r="T230" s="19">
        <f t="shared" si="55"/>
        <v>88.536634374598776</v>
      </c>
      <c r="U230" s="19">
        <f t="shared" si="56"/>
        <v>83.804000000000016</v>
      </c>
    </row>
    <row r="231" spans="14:21" x14ac:dyDescent="0.25">
      <c r="N231" s="10">
        <v>112.5</v>
      </c>
      <c r="O231" s="17">
        <f t="shared" si="52"/>
        <v>4.2772772976820388</v>
      </c>
      <c r="P231" s="17">
        <f t="shared" si="57"/>
        <v>112.5</v>
      </c>
      <c r="Q231" s="19">
        <f t="shared" si="58"/>
        <v>131.26900458620355</v>
      </c>
      <c r="R231" s="11">
        <f t="shared" si="53"/>
        <v>0.47492653878445035</v>
      </c>
      <c r="S231" s="19">
        <f t="shared" si="54"/>
        <v>88.336336213907771</v>
      </c>
      <c r="T231" s="19">
        <f t="shared" si="55"/>
        <v>88.336336213907771</v>
      </c>
      <c r="U231" s="19">
        <f t="shared" si="56"/>
        <v>83.804000000000016</v>
      </c>
    </row>
    <row r="232" spans="14:21" x14ac:dyDescent="0.25">
      <c r="N232" s="10">
        <v>113</v>
      </c>
      <c r="O232" s="17">
        <f t="shared" si="52"/>
        <v>4.3106514210202835</v>
      </c>
      <c r="P232" s="17">
        <f t="shared" si="57"/>
        <v>113</v>
      </c>
      <c r="Q232" s="19">
        <f t="shared" si="58"/>
        <v>131.72471911583926</v>
      </c>
      <c r="R232" s="11">
        <f t="shared" si="53"/>
        <v>0.47384995416063602</v>
      </c>
      <c r="S232" s="19">
        <f t="shared" si="54"/>
        <v>88.136091473878295</v>
      </c>
      <c r="T232" s="19">
        <f t="shared" si="55"/>
        <v>88.136091473878295</v>
      </c>
      <c r="U232" s="19">
        <f t="shared" si="56"/>
        <v>83.804000000000016</v>
      </c>
    </row>
    <row r="233" spans="14:21" x14ac:dyDescent="0.25">
      <c r="N233" s="10">
        <v>113.5</v>
      </c>
      <c r="O233" s="17">
        <f t="shared" si="52"/>
        <v>4.344017303894919</v>
      </c>
      <c r="P233" s="17">
        <f t="shared" si="57"/>
        <v>113.5</v>
      </c>
      <c r="Q233" s="19">
        <f t="shared" si="58"/>
        <v>132.18031216974782</v>
      </c>
      <c r="R233" s="11">
        <f t="shared" si="53"/>
        <v>0.47277363535822842</v>
      </c>
      <c r="S233" s="19">
        <f t="shared" si="54"/>
        <v>87.935896176630479</v>
      </c>
      <c r="T233" s="19">
        <f t="shared" si="55"/>
        <v>87.935896176630479</v>
      </c>
      <c r="U233" s="19">
        <f t="shared" si="56"/>
        <v>83.804000000000016</v>
      </c>
    </row>
    <row r="234" spans="14:21" x14ac:dyDescent="0.25">
      <c r="N234" s="10">
        <v>114</v>
      </c>
      <c r="O234" s="17">
        <f t="shared" si="52"/>
        <v>4.3773756057122259</v>
      </c>
      <c r="P234" s="17">
        <f t="shared" si="57"/>
        <v>114</v>
      </c>
      <c r="Q234" s="19">
        <f t="shared" si="58"/>
        <v>132.63578758918786</v>
      </c>
      <c r="R234" s="11">
        <f t="shared" si="53"/>
        <v>0.47169756110605721</v>
      </c>
      <c r="S234" s="19">
        <f t="shared" si="54"/>
        <v>87.735746365726641</v>
      </c>
      <c r="T234" s="19">
        <f t="shared" si="55"/>
        <v>87.735746365726641</v>
      </c>
      <c r="U234" s="19">
        <f t="shared" si="56"/>
        <v>83.804000000000016</v>
      </c>
    </row>
    <row r="235" spans="14:21" x14ac:dyDescent="0.25">
      <c r="N235" s="10">
        <v>114.5</v>
      </c>
      <c r="O235" s="17">
        <f t="shared" si="52"/>
        <v>4.4107269824153992</v>
      </c>
      <c r="P235" s="17">
        <f t="shared" si="57"/>
        <v>114.5</v>
      </c>
      <c r="Q235" s="19">
        <f t="shared" si="58"/>
        <v>133.09114917406498</v>
      </c>
      <c r="R235" s="11">
        <f t="shared" si="53"/>
        <v>0.47062171024466454</v>
      </c>
      <c r="S235" s="19">
        <f t="shared" si="54"/>
        <v>87.535638105507601</v>
      </c>
      <c r="T235" s="19">
        <f t="shared" si="55"/>
        <v>87.535638105507601</v>
      </c>
      <c r="U235" s="19">
        <f t="shared" si="56"/>
        <v>83.804000000000016</v>
      </c>
    </row>
    <row r="236" spans="14:21" x14ac:dyDescent="0.25">
      <c r="N236" s="10">
        <v>115</v>
      </c>
      <c r="O236" s="17">
        <f t="shared" si="52"/>
        <v>4.4440720865936605</v>
      </c>
      <c r="P236" s="17">
        <f t="shared" si="57"/>
        <v>115</v>
      </c>
      <c r="Q236" s="19">
        <f t="shared" si="58"/>
        <v>133.54640068341109</v>
      </c>
      <c r="R236" s="11">
        <f t="shared" si="53"/>
        <v>0.46954606172278512</v>
      </c>
      <c r="S236" s="19">
        <f t="shared" si="54"/>
        <v>87.33556748043803</v>
      </c>
      <c r="T236" s="19">
        <f t="shared" si="55"/>
        <v>87.33556748043803</v>
      </c>
      <c r="U236" s="19">
        <f t="shared" si="56"/>
        <v>83.804000000000016</v>
      </c>
    </row>
    <row r="237" spans="14:21" x14ac:dyDescent="0.25">
      <c r="N237" s="10">
        <v>115.5</v>
      </c>
      <c r="O237" s="17">
        <f t="shared" si="52"/>
        <v>4.477411567589904</v>
      </c>
      <c r="P237" s="17">
        <f t="shared" si="57"/>
        <v>115.5</v>
      </c>
      <c r="Q237" s="19">
        <f t="shared" si="58"/>
        <v>134.00154583585223</v>
      </c>
      <c r="R237" s="11">
        <f t="shared" si="53"/>
        <v>0.46847059459387408</v>
      </c>
      <c r="S237" s="19">
        <f t="shared" si="54"/>
        <v>87.135530594460576</v>
      </c>
      <c r="T237" s="19">
        <f t="shared" si="55"/>
        <v>87.135530594460576</v>
      </c>
      <c r="U237" s="19">
        <f t="shared" si="56"/>
        <v>83.804000000000016</v>
      </c>
    </row>
    <row r="238" spans="14:21" x14ac:dyDescent="0.25">
      <c r="N238" s="10">
        <v>116</v>
      </c>
      <c r="O238" s="17">
        <f t="shared" si="52"/>
        <v>4.5107460716069898</v>
      </c>
      <c r="P238" s="17">
        <f t="shared" si="57"/>
        <v>116</v>
      </c>
      <c r="Q238" s="19">
        <f t="shared" si="58"/>
        <v>134.45658831006614</v>
      </c>
      <c r="R238" s="11">
        <f t="shared" si="53"/>
        <v>0.46739528801267771</v>
      </c>
      <c r="S238" s="19">
        <f t="shared" si="54"/>
        <v>86.935523570358058</v>
      </c>
      <c r="T238" s="19">
        <f t="shared" si="55"/>
        <v>86.935523570358058</v>
      </c>
      <c r="U238" s="19">
        <f t="shared" si="56"/>
        <v>83.804000000000016</v>
      </c>
    </row>
    <row r="239" spans="14:21" x14ac:dyDescent="0.25">
      <c r="N239" s="10">
        <v>116.5</v>
      </c>
      <c r="O239" s="17">
        <f t="shared" si="52"/>
        <v>4.5440762418126379</v>
      </c>
      <c r="P239" s="17">
        <f t="shared" si="57"/>
        <v>116.5</v>
      </c>
      <c r="Q239" s="19">
        <f t="shared" si="58"/>
        <v>134.91153174522816</v>
      </c>
      <c r="R239" s="11">
        <f t="shared" si="53"/>
        <v>0.4663201212318504</v>
      </c>
      <c r="S239" s="19">
        <f t="shared" si="54"/>
        <v>86.735542549124176</v>
      </c>
      <c r="T239" s="19">
        <f t="shared" si="55"/>
        <v>86.735542549124176</v>
      </c>
      <c r="U239" s="19">
        <f t="shared" si="56"/>
        <v>83.804000000000016</v>
      </c>
    </row>
    <row r="240" spans="14:21" x14ac:dyDescent="0.25">
      <c r="N240" s="10">
        <v>117</v>
      </c>
      <c r="O240" s="17">
        <f t="shared" si="52"/>
        <v>4.5774027184430874</v>
      </c>
      <c r="P240" s="17">
        <f t="shared" si="57"/>
        <v>117</v>
      </c>
      <c r="Q240" s="19">
        <f t="shared" si="58"/>
        <v>135.36637974144764</v>
      </c>
      <c r="R240" s="11">
        <f t="shared" si="53"/>
        <v>0.46524507359861006</v>
      </c>
      <c r="S240" s="19">
        <f t="shared" si="54"/>
        <v>86.535583689341465</v>
      </c>
      <c r="T240" s="19">
        <f t="shared" si="55"/>
        <v>86.535583689341465</v>
      </c>
      <c r="U240" s="19">
        <f t="shared" si="56"/>
        <v>83.804000000000016</v>
      </c>
    </row>
    <row r="241" spans="14:21" x14ac:dyDescent="0.25">
      <c r="N241" s="10">
        <v>117.5</v>
      </c>
      <c r="O241" s="17">
        <f t="shared" si="52"/>
        <v>4.6107261389054504</v>
      </c>
      <c r="P241" s="17">
        <f t="shared" si="57"/>
        <v>117.5</v>
      </c>
      <c r="Q241" s="19">
        <f t="shared" si="58"/>
        <v>135.82113586019307</v>
      </c>
      <c r="R241" s="11">
        <f t="shared" si="53"/>
        <v>0.46417012455143708</v>
      </c>
      <c r="S241" s="19">
        <f t="shared" si="54"/>
        <v>86.335643166567294</v>
      </c>
      <c r="T241" s="19">
        <f t="shared" si="55"/>
        <v>86.335643166567294</v>
      </c>
      <c r="U241" s="19">
        <f t="shared" si="56"/>
        <v>83.804000000000016</v>
      </c>
    </row>
    <row r="242" spans="14:21" x14ac:dyDescent="0.25">
      <c r="N242" s="10">
        <v>118</v>
      </c>
      <c r="O242" s="17">
        <f t="shared" si="52"/>
        <v>4.644047137878907</v>
      </c>
      <c r="P242" s="17">
        <f t="shared" si="57"/>
        <v>118</v>
      </c>
      <c r="Q242" s="19">
        <f t="shared" si="58"/>
        <v>136.27580362470772</v>
      </c>
      <c r="R242" s="11">
        <f t="shared" si="53"/>
        <v>0.46309525361680942</v>
      </c>
      <c r="S242" s="19">
        <f t="shared" si="54"/>
        <v>86.135717172726558</v>
      </c>
      <c r="T242" s="19">
        <f t="shared" si="55"/>
        <v>86.135717172726558</v>
      </c>
      <c r="U242" s="19">
        <f t="shared" si="56"/>
        <v>83.804000000000016</v>
      </c>
    </row>
    <row r="243" spans="14:21" x14ac:dyDescent="0.25">
      <c r="N243" s="10">
        <v>118.5</v>
      </c>
      <c r="O243" s="17">
        <f t="shared" si="52"/>
        <v>4.6773663474147344</v>
      </c>
      <c r="P243" s="17">
        <f t="shared" si="57"/>
        <v>118.5</v>
      </c>
      <c r="Q243" s="19">
        <f t="shared" si="58"/>
        <v>136.73038652041495</v>
      </c>
      <c r="R243" s="11">
        <f t="shared" si="53"/>
        <v>0.46202044040597628</v>
      </c>
      <c r="S243" s="19">
        <f t="shared" si="54"/>
        <v>85.93580191551159</v>
      </c>
      <c r="T243" s="19">
        <f t="shared" si="55"/>
        <v>85.93580191551159</v>
      </c>
      <c r="U243" s="19">
        <f t="shared" si="56"/>
        <v>83.804000000000016</v>
      </c>
    </row>
    <row r="244" spans="14:21" x14ac:dyDescent="0.25">
      <c r="N244" s="10">
        <v>119</v>
      </c>
      <c r="O244" s="17">
        <f t="shared" si="52"/>
        <v>4.7106843970352212</v>
      </c>
      <c r="P244" s="17">
        <f t="shared" si="57"/>
        <v>119</v>
      </c>
      <c r="Q244" s="19">
        <f t="shared" si="58"/>
        <v>137.18488799531389</v>
      </c>
      <c r="R244" s="11">
        <f t="shared" si="53"/>
        <v>0.46094566461176706</v>
      </c>
      <c r="S244" s="19">
        <f t="shared" si="54"/>
        <v>85.735893617788676</v>
      </c>
      <c r="T244" s="19">
        <f t="shared" si="55"/>
        <v>85.735893617788676</v>
      </c>
      <c r="U244" s="19">
        <f t="shared" si="56"/>
        <v>83.804000000000016</v>
      </c>
    </row>
    <row r="245" spans="14:21" x14ac:dyDescent="0.25">
      <c r="N245" s="10">
        <v>119.5</v>
      </c>
      <c r="O245" s="17">
        <f t="shared" si="52"/>
        <v>4.7440019138315339</v>
      </c>
      <c r="P245" s="17">
        <f t="shared" si="57"/>
        <v>119.5</v>
      </c>
      <c r="Q245" s="19">
        <f t="shared" si="58"/>
        <v>137.63931146036552</v>
      </c>
      <c r="R245" s="11">
        <f t="shared" si="53"/>
        <v>0.4598709060054344</v>
      </c>
      <c r="S245" s="19">
        <f t="shared" si="54"/>
        <v>85.535988517010793</v>
      </c>
      <c r="T245" s="19">
        <f t="shared" si="55"/>
        <v>85.535988517010793</v>
      </c>
      <c r="U245" s="19">
        <f t="shared" si="56"/>
        <v>83.804000000000016</v>
      </c>
    </row>
    <row r="246" spans="14:21" x14ac:dyDescent="0.25">
      <c r="N246" s="10">
        <v>120</v>
      </c>
      <c r="O246" s="17">
        <f t="shared" si="52"/>
        <v>4.7773195225605498</v>
      </c>
      <c r="P246" s="17">
        <f t="shared" si="57"/>
        <v>120</v>
      </c>
      <c r="Q246" s="19">
        <f t="shared" si="58"/>
        <v>138.09366028986918</v>
      </c>
      <c r="R246" s="11">
        <f t="shared" si="53"/>
        <v>0.45879614443353062</v>
      </c>
      <c r="S246" s="19">
        <f t="shared" si="54"/>
        <v>85.336082864636694</v>
      </c>
      <c r="T246" s="19">
        <f t="shared" si="55"/>
        <v>85.336082864636694</v>
      </c>
      <c r="U246" s="19">
        <f t="shared" si="56"/>
        <v>83.804000000000016</v>
      </c>
    </row>
    <row r="247" spans="14:21" x14ac:dyDescent="0.25">
      <c r="N247" s="10">
        <v>120.5</v>
      </c>
      <c r="O247" s="17">
        <f t="shared" si="52"/>
        <v>4.8106378457407288</v>
      </c>
      <c r="P247" s="17">
        <f t="shared" si="57"/>
        <v>120.5</v>
      </c>
      <c r="Q247" s="19">
        <f t="shared" si="58"/>
        <v>138.54793782182998</v>
      </c>
      <c r="R247" s="11">
        <f t="shared" si="53"/>
        <v>0.45772135981481521</v>
      </c>
      <c r="S247" s="19">
        <f t="shared" si="54"/>
        <v>85.136172925555627</v>
      </c>
      <c r="T247" s="19">
        <f t="shared" si="55"/>
        <v>85.136172925555627</v>
      </c>
      <c r="U247" s="19">
        <f t="shared" si="56"/>
        <v>83.804000000000016</v>
      </c>
    </row>
    <row r="248" spans="14:21" x14ac:dyDescent="0.25">
      <c r="N248" s="10">
        <v>121</v>
      </c>
      <c r="O248" s="17">
        <f t="shared" si="52"/>
        <v>4.843957503747049</v>
      </c>
      <c r="P248" s="17">
        <f t="shared" si="57"/>
        <v>121</v>
      </c>
      <c r="Q248" s="19">
        <f t="shared" si="58"/>
        <v>139.00214735831707</v>
      </c>
      <c r="R248" s="11">
        <f t="shared" si="53"/>
        <v>0.45664653213719197</v>
      </c>
      <c r="S248" s="19">
        <f t="shared" si="54"/>
        <v>84.936254977517706</v>
      </c>
      <c r="T248" s="19">
        <f t="shared" si="55"/>
        <v>84.936254977517706</v>
      </c>
      <c r="U248" s="19">
        <f t="shared" si="56"/>
        <v>83.804000000000016</v>
      </c>
    </row>
    <row r="249" spans="14:21" x14ac:dyDescent="0.25">
      <c r="N249" s="10">
        <v>121.5</v>
      </c>
      <c r="O249" s="17">
        <f t="shared" si="52"/>
        <v>4.877279114905031</v>
      </c>
      <c r="P249" s="17">
        <f t="shared" si="57"/>
        <v>121.5</v>
      </c>
      <c r="Q249" s="19">
        <f t="shared" si="58"/>
        <v>139.45629216581256</v>
      </c>
      <c r="R249" s="11">
        <f t="shared" si="53"/>
        <v>0.45557164145467643</v>
      </c>
      <c r="S249" s="19">
        <f t="shared" si="54"/>
        <v>84.736325310569811</v>
      </c>
      <c r="T249" s="19">
        <f t="shared" si="55"/>
        <v>84.736325310569811</v>
      </c>
      <c r="U249" s="19">
        <f t="shared" si="56"/>
        <v>83.804000000000016</v>
      </c>
    </row>
    <row r="250" spans="14:21" x14ac:dyDescent="0.25">
      <c r="N250" s="10">
        <v>122</v>
      </c>
      <c r="O250" s="17">
        <f t="shared" si="52"/>
        <v>4.9106032955839538</v>
      </c>
      <c r="P250" s="17">
        <f t="shared" si="57"/>
        <v>122</v>
      </c>
      <c r="Q250" s="19">
        <f t="shared" si="58"/>
        <v>139.91037547555243</v>
      </c>
      <c r="R250" s="11">
        <f t="shared" si="53"/>
        <v>0.45449666788438858</v>
      </c>
      <c r="S250" s="19">
        <f t="shared" si="54"/>
        <v>84.536380226496277</v>
      </c>
      <c r="T250" s="19">
        <f t="shared" si="55"/>
        <v>84.536380226496277</v>
      </c>
      <c r="U250" s="19">
        <f t="shared" si="56"/>
        <v>83.804000000000016</v>
      </c>
    </row>
    <row r="251" spans="14:21" x14ac:dyDescent="0.25">
      <c r="N251" s="10">
        <v>122.5</v>
      </c>
      <c r="O251" s="17">
        <f t="shared" si="52"/>
        <v>4.9439306602892188</v>
      </c>
      <c r="P251" s="17">
        <f t="shared" si="57"/>
        <v>122.5</v>
      </c>
      <c r="Q251" s="19">
        <f t="shared" si="58"/>
        <v>140.36440048385793</v>
      </c>
      <c r="R251" s="11">
        <f t="shared" si="53"/>
        <v>0.45342159160357359</v>
      </c>
      <c r="S251" s="19">
        <f t="shared" si="54"/>
        <v>84.336416038264687</v>
      </c>
      <c r="T251" s="19">
        <f t="shared" si="55"/>
        <v>84.336416038264687</v>
      </c>
      <c r="U251" s="19">
        <f t="shared" si="56"/>
        <v>83.804000000000016</v>
      </c>
    </row>
    <row r="252" spans="14:21" x14ac:dyDescent="0.25">
      <c r="N252" s="10">
        <v>123</v>
      </c>
      <c r="O252" s="17">
        <f t="shared" si="52"/>
        <v>4.9772618217539772</v>
      </c>
      <c r="P252" s="17">
        <f t="shared" si="57"/>
        <v>123</v>
      </c>
      <c r="Q252" s="19">
        <f t="shared" si="58"/>
        <v>140.818370352459</v>
      </c>
      <c r="R252" s="11">
        <f t="shared" si="53"/>
        <v>0.45234639284664591</v>
      </c>
      <c r="S252" s="19">
        <f t="shared" si="54"/>
        <v>84.136429069476137</v>
      </c>
      <c r="T252" s="19">
        <f t="shared" si="55"/>
        <v>84.136429069476137</v>
      </c>
      <c r="U252" s="19">
        <f t="shared" si="56"/>
        <v>83.804000000000016</v>
      </c>
    </row>
    <row r="253" spans="14:21" x14ac:dyDescent="0.25">
      <c r="N253" s="10">
        <v>123.5</v>
      </c>
      <c r="O253" s="17">
        <f t="shared" si="52"/>
        <v>5.0105973910299966</v>
      </c>
      <c r="P253" s="17">
        <f t="shared" si="57"/>
        <v>123.5</v>
      </c>
      <c r="Q253" s="19">
        <f t="shared" si="58"/>
        <v>141.27228820880904</v>
      </c>
      <c r="R253" s="11">
        <f t="shared" si="53"/>
        <v>0.45127105190225814</v>
      </c>
      <c r="S253" s="19">
        <f t="shared" si="54"/>
        <v>83.936415653820006</v>
      </c>
      <c r="T253" s="19">
        <f t="shared" si="55"/>
        <v>83.936415653820006</v>
      </c>
      <c r="U253" s="19">
        <f t="shared" si="56"/>
        <v>83.804000000000016</v>
      </c>
    </row>
    <row r="254" spans="14:21" x14ac:dyDescent="0.25">
      <c r="N254" s="10">
        <v>124</v>
      </c>
      <c r="O254" s="17">
        <f t="shared" si="52"/>
        <v>5.0439379775778734</v>
      </c>
      <c r="P254" s="17">
        <f t="shared" si="57"/>
        <v>124</v>
      </c>
      <c r="Q254" s="19">
        <f t="shared" si="58"/>
        <v>141.72615714639159</v>
      </c>
      <c r="R254" s="11">
        <f t="shared" si="53"/>
        <v>0.45019554911039117</v>
      </c>
      <c r="S254" s="19">
        <f t="shared" si="54"/>
        <v>83.736372134532758</v>
      </c>
      <c r="T254" s="19">
        <f t="shared" si="55"/>
        <v>83.736372134532758</v>
      </c>
      <c r="U254" s="19">
        <f t="shared" si="56"/>
        <v>83.804000000000016</v>
      </c>
    </row>
    <row r="255" spans="14:21" x14ac:dyDescent="0.25">
      <c r="N255" s="10">
        <v>124.5</v>
      </c>
      <c r="O255" s="17">
        <f t="shared" si="52"/>
        <v>5.0772841893565532</v>
      </c>
      <c r="P255" s="17">
        <f t="shared" si="57"/>
        <v>124.5</v>
      </c>
      <c r="Q255" s="19">
        <f t="shared" si="58"/>
        <v>142.17998022501865</v>
      </c>
      <c r="R255" s="11">
        <f t="shared" si="53"/>
        <v>0.44911986485946598</v>
      </c>
      <c r="S255" s="19">
        <f t="shared" si="54"/>
        <v>83.536294863860675</v>
      </c>
      <c r="T255" s="19">
        <f t="shared" si="55"/>
        <v>83.536294863860675</v>
      </c>
      <c r="U255" s="19">
        <f t="shared" si="56"/>
        <v>83.804000000000016</v>
      </c>
    </row>
    <row r="256" spans="14:21" x14ac:dyDescent="0.25">
      <c r="N256" s="10">
        <v>125</v>
      </c>
      <c r="O256" s="17">
        <f t="shared" si="52"/>
        <v>5.1106366329122652</v>
      </c>
      <c r="P256" s="17">
        <f t="shared" si="57"/>
        <v>125</v>
      </c>
      <c r="Q256" s="19">
        <f t="shared" si="58"/>
        <v>142.63376047112146</v>
      </c>
      <c r="R256" s="11">
        <f t="shared" si="53"/>
        <v>0.4480439795834753</v>
      </c>
      <c r="S256" s="19">
        <f t="shared" si="54"/>
        <v>83.336180202526407</v>
      </c>
      <c r="T256" s="19">
        <f t="shared" si="55"/>
        <v>83.336180202526407</v>
      </c>
      <c r="U256" s="19">
        <f t="shared" si="56"/>
        <v>83.804000000000016</v>
      </c>
    </row>
    <row r="257" spans="14:21" x14ac:dyDescent="0.25">
      <c r="N257" s="10">
        <v>125.5</v>
      </c>
      <c r="O257" s="17">
        <f t="shared" si="52"/>
        <v>5.1439959134668696</v>
      </c>
      <c r="P257" s="17">
        <f t="shared" si="57"/>
        <v>125.5</v>
      </c>
      <c r="Q257" s="19">
        <f t="shared" si="58"/>
        <v>143.08750087803276</v>
      </c>
      <c r="R257" s="11">
        <f t="shared" si="53"/>
        <v>0.44696787375913322</v>
      </c>
      <c r="S257" s="19">
        <f t="shared" si="54"/>
        <v>83.136024519198784</v>
      </c>
      <c r="T257" s="19">
        <f t="shared" si="55"/>
        <v>83.136024519198784</v>
      </c>
      <c r="U257" s="19">
        <f t="shared" si="56"/>
        <v>83.804000000000016</v>
      </c>
    </row>
    <row r="258" spans="14:21" x14ac:dyDescent="0.25">
      <c r="N258" s="10">
        <v>126</v>
      </c>
      <c r="O258" s="17">
        <f t="shared" si="52"/>
        <v>5.1773626350056592</v>
      </c>
      <c r="P258" s="17">
        <f t="shared" si="57"/>
        <v>126</v>
      </c>
      <c r="Q258" s="19">
        <f t="shared" si="58"/>
        <v>143.54120440626187</v>
      </c>
      <c r="R258" s="11">
        <f t="shared" si="53"/>
        <v>0.44589152790304326</v>
      </c>
      <c r="S258" s="19">
        <f t="shared" si="54"/>
        <v>82.935824189966041</v>
      </c>
      <c r="T258" s="19">
        <f t="shared" si="55"/>
        <v>82.935824189966041</v>
      </c>
      <c r="U258" s="19">
        <f t="shared" si="56"/>
        <v>83.804000000000016</v>
      </c>
    </row>
    <row r="259" spans="14:21" x14ac:dyDescent="0.25">
      <c r="N259" s="10">
        <v>126.5</v>
      </c>
      <c r="O259" s="17">
        <f t="shared" si="52"/>
        <v>5.2107374003646729</v>
      </c>
      <c r="P259" s="17">
        <f t="shared" si="57"/>
        <v>126.5</v>
      </c>
      <c r="Q259" s="19">
        <f t="shared" si="58"/>
        <v>143.99487398376186</v>
      </c>
      <c r="R259" s="11">
        <f t="shared" si="53"/>
        <v>0.4448149225688815</v>
      </c>
      <c r="S259" s="19">
        <f t="shared" si="54"/>
        <v>82.735575597811959</v>
      </c>
      <c r="T259" s="19">
        <f t="shared" si="55"/>
        <v>82.735575597811959</v>
      </c>
      <c r="U259" s="19">
        <f t="shared" si="56"/>
        <v>83.804000000000016</v>
      </c>
    </row>
    <row r="260" spans="14:21" x14ac:dyDescent="0.25">
      <c r="N260" s="10">
        <v>127</v>
      </c>
      <c r="O260" s="17">
        <f t="shared" si="52"/>
        <v>5.2441208113175133</v>
      </c>
      <c r="P260" s="17">
        <f t="shared" si="57"/>
        <v>127</v>
      </c>
      <c r="Q260" s="19">
        <f t="shared" si="58"/>
        <v>144.44851250618908</v>
      </c>
      <c r="R260" s="11">
        <f t="shared" si="53"/>
        <v>0.44373803834459635</v>
      </c>
      <c r="S260" s="19">
        <f t="shared" si="54"/>
        <v>82.535275132094924</v>
      </c>
      <c r="T260" s="19">
        <f t="shared" si="55"/>
        <v>82.535275132094924</v>
      </c>
      <c r="U260" s="19">
        <f t="shared" si="56"/>
        <v>83.804000000000016</v>
      </c>
    </row>
    <row r="261" spans="14:21" x14ac:dyDescent="0.25">
      <c r="N261" s="10">
        <v>127.5</v>
      </c>
      <c r="O261" s="17">
        <f t="shared" si="52"/>
        <v>5.2775134686617786</v>
      </c>
      <c r="P261" s="17">
        <f t="shared" si="57"/>
        <v>127.5</v>
      </c>
      <c r="Q261" s="19">
        <f t="shared" si="58"/>
        <v>144.90212283715567</v>
      </c>
      <c r="R261" s="11">
        <f t="shared" si="53"/>
        <v>0.44266085584962001</v>
      </c>
      <c r="S261" s="19">
        <f t="shared" si="54"/>
        <v>82.334919188029318</v>
      </c>
      <c r="T261" s="19">
        <f t="shared" si="55"/>
        <v>82.334919188029318</v>
      </c>
      <c r="U261" s="19">
        <f t="shared" si="56"/>
        <v>83.804000000000016</v>
      </c>
    </row>
    <row r="262" spans="14:21" x14ac:dyDescent="0.25">
      <c r="N262" s="10">
        <v>128</v>
      </c>
      <c r="O262" s="17">
        <f t="shared" ref="O262:O325" si="59">IF(N262=0,$B$5,IF(N262&gt;$B$9,NA(),-($B$6-$B$5)*(1-(N262/$B$9))^(0.985*((N262/$B$9)^(-0.625)))+$B$6))</f>
        <v>5.310915972305045</v>
      </c>
      <c r="P262" s="17">
        <f t="shared" si="57"/>
        <v>128</v>
      </c>
      <c r="Q262" s="19">
        <f t="shared" si="58"/>
        <v>145.35570780847416</v>
      </c>
      <c r="R262" s="11">
        <f t="shared" ref="R262:R325" si="60">$B$13*($B$8-O262)</f>
        <v>0.44158335573209528</v>
      </c>
      <c r="S262" s="19">
        <f t="shared" ref="S262:S325" si="61">R262*$B$20</f>
        <v>82.134504166169719</v>
      </c>
      <c r="T262" s="19">
        <f t="shared" ref="T262:T325" si="62">R262*$B$20</f>
        <v>82.134504166169719</v>
      </c>
      <c r="U262" s="19">
        <f t="shared" ref="U262:U325" si="63">$B$21/2</f>
        <v>83.804000000000016</v>
      </c>
    </row>
    <row r="263" spans="14:21" x14ac:dyDescent="0.25">
      <c r="N263" s="10">
        <v>128.5</v>
      </c>
      <c r="O263" s="17">
        <f t="shared" si="59"/>
        <v>5.3443289213505354</v>
      </c>
      <c r="P263" s="17">
        <f t="shared" ref="P263:P326" si="64">N263</f>
        <v>128.5</v>
      </c>
      <c r="Q263" s="19">
        <f t="shared" si="58"/>
        <v>145.8092702203956</v>
      </c>
      <c r="R263" s="11">
        <f t="shared" si="60"/>
        <v>0.44050551866611176</v>
      </c>
      <c r="S263" s="19">
        <f t="shared" si="61"/>
        <v>81.934026471896786</v>
      </c>
      <c r="T263" s="19">
        <f t="shared" si="62"/>
        <v>81.934026471896786</v>
      </c>
      <c r="U263" s="19">
        <f t="shared" si="63"/>
        <v>83.804000000000016</v>
      </c>
    </row>
    <row r="264" spans="14:21" x14ac:dyDescent="0.25">
      <c r="N264" s="10">
        <v>129</v>
      </c>
      <c r="O264" s="17">
        <f t="shared" si="59"/>
        <v>5.3777529141824401</v>
      </c>
      <c r="P264" s="17">
        <f t="shared" si="64"/>
        <v>129</v>
      </c>
      <c r="Q264" s="19">
        <f t="shared" si="58"/>
        <v>146.26281284183972</v>
      </c>
      <c r="R264" s="11">
        <f t="shared" si="60"/>
        <v>0.43942732534895351</v>
      </c>
      <c r="S264" s="19">
        <f t="shared" si="61"/>
        <v>81.733482514905347</v>
      </c>
      <c r="T264" s="19">
        <f t="shared" si="62"/>
        <v>81.733482514905347</v>
      </c>
      <c r="U264" s="19">
        <f t="shared" si="63"/>
        <v>83.804000000000016</v>
      </c>
    </row>
    <row r="265" spans="14:21" x14ac:dyDescent="0.25">
      <c r="N265" s="10">
        <v>129.5</v>
      </c>
      <c r="O265" s="17">
        <f t="shared" si="59"/>
        <v>5.4111885485509541</v>
      </c>
      <c r="P265" s="17">
        <f t="shared" si="64"/>
        <v>129.5</v>
      </c>
      <c r="Q265" s="19">
        <f t="shared" si="58"/>
        <v>146.71633841061885</v>
      </c>
      <c r="R265" s="11">
        <f t="shared" si="60"/>
        <v>0.43834875649835636</v>
      </c>
      <c r="S265" s="19">
        <f t="shared" si="61"/>
        <v>81.532868708694281</v>
      </c>
      <c r="T265" s="19">
        <f t="shared" si="62"/>
        <v>81.532868708694281</v>
      </c>
      <c r="U265" s="19">
        <f t="shared" si="63"/>
        <v>83.804000000000016</v>
      </c>
    </row>
    <row r="266" spans="14:21" x14ac:dyDescent="0.25">
      <c r="N266" s="10">
        <v>130</v>
      </c>
      <c r="O266" s="17">
        <f t="shared" si="59"/>
        <v>5.4446364216570613</v>
      </c>
      <c r="P266" s="17">
        <f t="shared" si="64"/>
        <v>130</v>
      </c>
      <c r="Q266" s="19">
        <f t="shared" si="58"/>
        <v>147.16984963365442</v>
      </c>
      <c r="R266" s="11">
        <f t="shared" si="60"/>
        <v>0.43726979284977219</v>
      </c>
      <c r="S266" s="19">
        <f t="shared" si="61"/>
        <v>81.332181470057634</v>
      </c>
      <c r="T266" s="19">
        <f t="shared" si="62"/>
        <v>81.332181470057634</v>
      </c>
      <c r="U266" s="19">
        <f t="shared" si="63"/>
        <v>83.804000000000016</v>
      </c>
    </row>
    <row r="267" spans="14:21" x14ac:dyDescent="0.25">
      <c r="N267" s="10">
        <v>130.5</v>
      </c>
      <c r="O267" s="17">
        <f t="shared" si="59"/>
        <v>5.4780971302371055</v>
      </c>
      <c r="P267" s="17">
        <f t="shared" si="64"/>
        <v>130.5</v>
      </c>
      <c r="Q267" s="19">
        <f t="shared" si="58"/>
        <v>147.62334918718693</v>
      </c>
      <c r="R267" s="11">
        <f t="shared" si="60"/>
        <v>0.43619041515364171</v>
      </c>
      <c r="S267" s="19">
        <f t="shared" si="61"/>
        <v>81.131417218577354</v>
      </c>
      <c r="T267" s="19">
        <f t="shared" si="62"/>
        <v>81.131417218577354</v>
      </c>
      <c r="U267" s="19">
        <f t="shared" si="63"/>
        <v>83.804000000000016</v>
      </c>
    </row>
    <row r="268" spans="14:21" x14ac:dyDescent="0.25">
      <c r="N268" s="10">
        <v>131</v>
      </c>
      <c r="O268" s="17">
        <f t="shared" si="59"/>
        <v>5.5115712706471598</v>
      </c>
      <c r="P268" s="17">
        <f t="shared" si="64"/>
        <v>131</v>
      </c>
      <c r="Q268" s="19">
        <f t="shared" si="58"/>
        <v>148.07683971697881</v>
      </c>
      <c r="R268" s="11">
        <f t="shared" si="60"/>
        <v>0.43511060417267228</v>
      </c>
      <c r="S268" s="19">
        <f t="shared" si="61"/>
        <v>80.930572376117041</v>
      </c>
      <c r="T268" s="19">
        <f t="shared" si="62"/>
        <v>80.930572376117041</v>
      </c>
      <c r="U268" s="19">
        <f t="shared" si="63"/>
        <v>83.804000000000016</v>
      </c>
    </row>
    <row r="269" spans="14:21" x14ac:dyDescent="0.25">
      <c r="N269" s="10">
        <v>131.5</v>
      </c>
      <c r="O269" s="17">
        <f t="shared" si="59"/>
        <v>5.5450594389472636</v>
      </c>
      <c r="P269" s="17">
        <f t="shared" si="64"/>
        <v>131.5</v>
      </c>
      <c r="Q269" s="19">
        <f t="shared" si="58"/>
        <v>148.5303238385109</v>
      </c>
      <c r="R269" s="11">
        <f t="shared" si="60"/>
        <v>0.43403034067912055</v>
      </c>
      <c r="S269" s="19">
        <f t="shared" si="61"/>
        <v>80.729643366316424</v>
      </c>
      <c r="T269" s="19">
        <f t="shared" si="62"/>
        <v>80.729643366316424</v>
      </c>
      <c r="U269" s="19">
        <f t="shared" si="63"/>
        <v>83.804000000000016</v>
      </c>
    </row>
    <row r="270" spans="14:21" x14ac:dyDescent="0.25">
      <c r="N270" s="10">
        <v>132</v>
      </c>
      <c r="O270" s="17">
        <f t="shared" si="59"/>
        <v>5.5785622309855452</v>
      </c>
      <c r="P270" s="17">
        <f t="shared" si="64"/>
        <v>132</v>
      </c>
      <c r="Q270" s="19">
        <f t="shared" si="58"/>
        <v>148.9838041371724</v>
      </c>
      <c r="R270" s="11">
        <f t="shared" si="60"/>
        <v>0.43294960545207917</v>
      </c>
      <c r="S270" s="19">
        <f t="shared" si="61"/>
        <v>80.528626614086718</v>
      </c>
      <c r="T270" s="19">
        <f t="shared" si="62"/>
        <v>80.528626614086718</v>
      </c>
      <c r="U270" s="19">
        <f t="shared" si="63"/>
        <v>83.804000000000016</v>
      </c>
    </row>
    <row r="271" spans="14:21" x14ac:dyDescent="0.25">
      <c r="N271" s="10">
        <v>132.5</v>
      </c>
      <c r="O271" s="17">
        <f t="shared" si="59"/>
        <v>5.6120802424822562</v>
      </c>
      <c r="P271" s="17">
        <f t="shared" si="64"/>
        <v>132.5</v>
      </c>
      <c r="Q271" s="19">
        <f t="shared" si="58"/>
        <v>149.43728316844411</v>
      </c>
      <c r="R271" s="11">
        <f t="shared" si="60"/>
        <v>0.4318683792747659</v>
      </c>
      <c r="S271" s="19">
        <f t="shared" si="61"/>
        <v>80.327518545106457</v>
      </c>
      <c r="T271" s="19">
        <f t="shared" si="62"/>
        <v>80.327518545106457</v>
      </c>
      <c r="U271" s="19">
        <f t="shared" si="63"/>
        <v>83.804000000000016</v>
      </c>
    </row>
    <row r="272" spans="14:21" x14ac:dyDescent="0.25">
      <c r="N272" s="10">
        <v>133</v>
      </c>
      <c r="O272" s="17">
        <f t="shared" si="59"/>
        <v>5.6456140691137691</v>
      </c>
      <c r="P272" s="17">
        <f t="shared" si="64"/>
        <v>133</v>
      </c>
      <c r="Q272" s="19">
        <f t="shared" si="58"/>
        <v>149.89076345807547</v>
      </c>
      <c r="R272" s="11">
        <f t="shared" si="60"/>
        <v>0.4307866429318139</v>
      </c>
      <c r="S272" s="19">
        <f t="shared" si="61"/>
        <v>80.126315585317386</v>
      </c>
      <c r="T272" s="19">
        <f t="shared" si="62"/>
        <v>80.126315585317386</v>
      </c>
      <c r="U272" s="19">
        <f t="shared" si="63"/>
        <v>83.804000000000016</v>
      </c>
    </row>
    <row r="273" spans="14:21" x14ac:dyDescent="0.25">
      <c r="N273" s="10">
        <v>133.5</v>
      </c>
      <c r="O273" s="17">
        <f t="shared" si="59"/>
        <v>5.6791643065965465</v>
      </c>
      <c r="P273" s="17">
        <f t="shared" si="64"/>
        <v>133.5</v>
      </c>
      <c r="Q273" s="19">
        <f t="shared" si="58"/>
        <v>150.3442475022548</v>
      </c>
      <c r="R273" s="11">
        <f t="shared" si="60"/>
        <v>0.42970437720656296</v>
      </c>
      <c r="S273" s="19">
        <f t="shared" si="61"/>
        <v>79.925014160420716</v>
      </c>
      <c r="T273" s="19">
        <f t="shared" si="62"/>
        <v>79.925014160420716</v>
      </c>
      <c r="U273" s="19">
        <f t="shared" si="63"/>
        <v>83.804000000000016</v>
      </c>
    </row>
    <row r="274" spans="14:21" x14ac:dyDescent="0.25">
      <c r="N274" s="10">
        <v>134</v>
      </c>
      <c r="O274" s="17">
        <f t="shared" si="59"/>
        <v>5.7127315507711671</v>
      </c>
      <c r="P274" s="17">
        <f t="shared" si="64"/>
        <v>134</v>
      </c>
      <c r="Q274" s="19">
        <f t="shared" si="58"/>
        <v>150.79773776777398</v>
      </c>
      <c r="R274" s="11">
        <f t="shared" si="60"/>
        <v>0.42862156287834946</v>
      </c>
      <c r="S274" s="19">
        <f t="shared" si="61"/>
        <v>79.723610695372997</v>
      </c>
      <c r="T274" s="19">
        <f t="shared" si="62"/>
        <v>79.723610695372997</v>
      </c>
      <c r="U274" s="19">
        <f t="shared" si="63"/>
        <v>83.804000000000016</v>
      </c>
    </row>
    <row r="275" spans="14:21" x14ac:dyDescent="0.25">
      <c r="N275" s="10">
        <v>134.5</v>
      </c>
      <c r="O275" s="17">
        <f t="shared" si="59"/>
        <v>5.7463163976863871</v>
      </c>
      <c r="P275" s="17">
        <f t="shared" si="64"/>
        <v>134.5</v>
      </c>
      <c r="Q275" s="19">
        <f t="shared" si="58"/>
        <v>151.25123669218641</v>
      </c>
      <c r="R275" s="11">
        <f t="shared" si="60"/>
        <v>0.42753818071979394</v>
      </c>
      <c r="S275" s="19">
        <f t="shared" si="61"/>
        <v>79.522101613881674</v>
      </c>
      <c r="T275" s="19">
        <f t="shared" si="62"/>
        <v>79.522101613881674</v>
      </c>
      <c r="U275" s="19">
        <f t="shared" si="63"/>
        <v>83.804000000000016</v>
      </c>
    </row>
    <row r="276" spans="14:21" x14ac:dyDescent="0.25">
      <c r="N276" s="10">
        <v>135</v>
      </c>
      <c r="O276" s="17">
        <f t="shared" si="59"/>
        <v>5.7799194436833146</v>
      </c>
      <c r="P276" s="17">
        <f t="shared" si="64"/>
        <v>135</v>
      </c>
      <c r="Q276" s="19">
        <f t="shared" si="58"/>
        <v>151.70474668395892</v>
      </c>
      <c r="R276" s="11">
        <f t="shared" si="60"/>
        <v>0.42645421149408658</v>
      </c>
      <c r="S276" s="19">
        <f t="shared" si="61"/>
        <v>79.3204833379001</v>
      </c>
      <c r="T276" s="19">
        <f t="shared" si="62"/>
        <v>79.3204833379001</v>
      </c>
      <c r="U276" s="19">
        <f t="shared" si="63"/>
        <v>83.804000000000016</v>
      </c>
    </row>
    <row r="277" spans="14:21" x14ac:dyDescent="0.25">
      <c r="N277" s="10">
        <v>135.5</v>
      </c>
      <c r="O277" s="17">
        <f t="shared" si="59"/>
        <v>5.8135412854796806</v>
      </c>
      <c r="P277" s="17">
        <f t="shared" si="64"/>
        <v>135.5</v>
      </c>
      <c r="Q277" s="19">
        <f t="shared" si="58"/>
        <v>152.15827012261772</v>
      </c>
      <c r="R277" s="11">
        <f t="shared" si="60"/>
        <v>0.4253696359522684</v>
      </c>
      <c r="S277" s="19">
        <f t="shared" si="61"/>
        <v>79.118752287121922</v>
      </c>
      <c r="T277" s="19">
        <f t="shared" si="62"/>
        <v>79.118752287121922</v>
      </c>
      <c r="U277" s="19">
        <f t="shared" si="63"/>
        <v>83.804000000000016</v>
      </c>
    </row>
    <row r="278" spans="14:21" x14ac:dyDescent="0.25">
      <c r="N278" s="10">
        <v>136</v>
      </c>
      <c r="O278" s="17">
        <f t="shared" si="59"/>
        <v>5.8471825202543215</v>
      </c>
      <c r="P278" s="17">
        <f t="shared" si="64"/>
        <v>136</v>
      </c>
      <c r="Q278" s="19">
        <f t="shared" si="58"/>
        <v>152.61180935888831</v>
      </c>
      <c r="R278" s="11">
        <f t="shared" si="60"/>
        <v>0.42428443483050576</v>
      </c>
      <c r="S278" s="19">
        <f t="shared" si="61"/>
        <v>78.916904878474071</v>
      </c>
      <c r="T278" s="19">
        <f t="shared" si="62"/>
        <v>78.916904878474071</v>
      </c>
      <c r="U278" s="19">
        <f t="shared" si="63"/>
        <v>83.804000000000016</v>
      </c>
    </row>
    <row r="279" spans="14:21" x14ac:dyDescent="0.25">
      <c r="N279" s="10">
        <v>136.5</v>
      </c>
      <c r="O279" s="17">
        <f t="shared" si="59"/>
        <v>5.8808437457318421</v>
      </c>
      <c r="P279" s="17">
        <f t="shared" si="64"/>
        <v>136.5</v>
      </c>
      <c r="Q279" s="19">
        <f t="shared" si="58"/>
        <v>153.06536671482945</v>
      </c>
      <c r="R279" s="11">
        <f t="shared" si="60"/>
        <v>0.42319858884735995</v>
      </c>
      <c r="S279" s="19">
        <f t="shared" si="61"/>
        <v>78.714937525608946</v>
      </c>
      <c r="T279" s="19">
        <f t="shared" si="62"/>
        <v>78.714937525608946</v>
      </c>
      <c r="U279" s="19">
        <f t="shared" si="63"/>
        <v>83.804000000000016</v>
      </c>
    </row>
    <row r="280" spans="14:21" x14ac:dyDescent="0.25">
      <c r="N280" s="10">
        <v>137</v>
      </c>
      <c r="O280" s="17">
        <f t="shared" si="59"/>
        <v>5.9145255602675135</v>
      </c>
      <c r="P280" s="17">
        <f t="shared" si="64"/>
        <v>137</v>
      </c>
      <c r="Q280" s="19">
        <f t="shared" si="58"/>
        <v>153.51894448396143</v>
      </c>
      <c r="R280" s="11">
        <f t="shared" si="60"/>
        <v>0.42211207870104794</v>
      </c>
      <c r="S280" s="19">
        <f t="shared" si="61"/>
        <v>78.512846638394919</v>
      </c>
      <c r="T280" s="19">
        <f t="shared" si="62"/>
        <v>78.512846638394919</v>
      </c>
      <c r="U280" s="19">
        <f t="shared" si="63"/>
        <v>83.804000000000016</v>
      </c>
    </row>
    <row r="281" spans="14:21" x14ac:dyDescent="0.25">
      <c r="N281" s="10">
        <v>137.5</v>
      </c>
      <c r="O281" s="17">
        <f t="shared" si="59"/>
        <v>5.9482285629324485</v>
      </c>
      <c r="P281" s="17">
        <f t="shared" si="64"/>
        <v>137.5</v>
      </c>
      <c r="Q281" s="19">
        <f t="shared" si="58"/>
        <v>153.97254493138811</v>
      </c>
      <c r="R281" s="11">
        <f t="shared" si="60"/>
        <v>0.42102488506669516</v>
      </c>
      <c r="S281" s="19">
        <f t="shared" si="61"/>
        <v>78.310628622405304</v>
      </c>
      <c r="T281" s="19">
        <f t="shared" si="62"/>
        <v>78.310628622405304</v>
      </c>
      <c r="U281" s="19">
        <f t="shared" si="63"/>
        <v>83.804000000000016</v>
      </c>
    </row>
    <row r="282" spans="14:21" x14ac:dyDescent="0.25">
      <c r="N282" s="10">
        <v>138</v>
      </c>
      <c r="O282" s="17">
        <f t="shared" si="59"/>
        <v>5.9819533535990992</v>
      </c>
      <c r="P282" s="17">
        <f t="shared" si="64"/>
        <v>138</v>
      </c>
      <c r="Q282" s="19">
        <f t="shared" si="58"/>
        <v>154.42617029391369</v>
      </c>
      <c r="R282" s="11">
        <f t="shared" si="60"/>
        <v>0.41993698859357742</v>
      </c>
      <c r="S282" s="19">
        <f t="shared" si="61"/>
        <v>78.108279878405398</v>
      </c>
      <c r="T282" s="19">
        <f t="shared" si="62"/>
        <v>78.108279878405398</v>
      </c>
      <c r="U282" s="19">
        <f t="shared" si="63"/>
        <v>83.804000000000016</v>
      </c>
    </row>
    <row r="283" spans="14:21" x14ac:dyDescent="0.25">
      <c r="N283" s="10">
        <v>138.5</v>
      </c>
      <c r="O283" s="17">
        <f t="shared" si="59"/>
        <v>6.015700533027089</v>
      </c>
      <c r="P283" s="17">
        <f t="shared" si="64"/>
        <v>138.5</v>
      </c>
      <c r="Q283" s="19">
        <f t="shared" si="58"/>
        <v>154.87982278015343</v>
      </c>
      <c r="R283" s="11">
        <f t="shared" si="60"/>
        <v>0.41884836990235191</v>
      </c>
      <c r="S283" s="19">
        <f t="shared" si="61"/>
        <v>77.905796801837454</v>
      </c>
      <c r="T283" s="19">
        <f t="shared" si="62"/>
        <v>77.905796801837454</v>
      </c>
      <c r="U283" s="19">
        <f t="shared" si="63"/>
        <v>83.804000000000016</v>
      </c>
    </row>
    <row r="284" spans="14:21" x14ac:dyDescent="0.25">
      <c r="N284" s="10">
        <v>139</v>
      </c>
      <c r="O284" s="17">
        <f t="shared" si="59"/>
        <v>6.0494707029494412</v>
      </c>
      <c r="P284" s="17">
        <f t="shared" si="64"/>
        <v>139</v>
      </c>
      <c r="Q284" s="19">
        <f t="shared" si="58"/>
        <v>155.33350457063898</v>
      </c>
      <c r="R284" s="11">
        <f t="shared" si="60"/>
        <v>0.41775900958227608</v>
      </c>
      <c r="S284" s="19">
        <f t="shared" si="61"/>
        <v>77.703175782303347</v>
      </c>
      <c r="T284" s="19">
        <f t="shared" si="62"/>
        <v>77.703175782303347</v>
      </c>
      <c r="U284" s="19">
        <f t="shared" si="63"/>
        <v>83.804000000000016</v>
      </c>
    </row>
    <row r="285" spans="14:21" x14ac:dyDescent="0.25">
      <c r="N285" s="10">
        <v>139.5</v>
      </c>
      <c r="O285" s="17">
        <f t="shared" si="59"/>
        <v>6.0832644661592239</v>
      </c>
      <c r="P285" s="17">
        <f t="shared" si="64"/>
        <v>139.5</v>
      </c>
      <c r="Q285" s="19">
        <f t="shared" si="58"/>
        <v>155.78721781791805</v>
      </c>
      <c r="R285" s="11">
        <f t="shared" si="60"/>
        <v>0.41666888818841208</v>
      </c>
      <c r="S285" s="19">
        <f t="shared" si="61"/>
        <v>77.500413203044644</v>
      </c>
      <c r="T285" s="19">
        <f t="shared" si="62"/>
        <v>77.500413203044644</v>
      </c>
      <c r="U285" s="19">
        <f t="shared" si="63"/>
        <v>83.804000000000016</v>
      </c>
    </row>
    <row r="286" spans="14:21" x14ac:dyDescent="0.25">
      <c r="N286" s="10">
        <v>140</v>
      </c>
      <c r="O286" s="17">
        <f t="shared" si="59"/>
        <v>6.117082426596677</v>
      </c>
      <c r="P286" s="17">
        <f t="shared" si="64"/>
        <v>140</v>
      </c>
      <c r="Q286" s="19">
        <f t="shared" si="58"/>
        <v>156.24096464664842</v>
      </c>
      <c r="R286" s="11">
        <f t="shared" si="60"/>
        <v>0.41557798623881681</v>
      </c>
      <c r="S286" s="19">
        <f t="shared" si="61"/>
        <v>77.297505440419926</v>
      </c>
      <c r="T286" s="19">
        <f t="shared" si="62"/>
        <v>77.297505440419926</v>
      </c>
      <c r="U286" s="19">
        <f t="shared" si="63"/>
        <v>83.804000000000016</v>
      </c>
    </row>
    <row r="287" spans="14:21" x14ac:dyDescent="0.25">
      <c r="N287" s="10">
        <v>140.5</v>
      </c>
      <c r="O287" s="17">
        <f t="shared" si="59"/>
        <v>6.1509251894368075</v>
      </c>
      <c r="P287" s="17">
        <f t="shared" si="64"/>
        <v>140.5</v>
      </c>
      <c r="Q287" s="19">
        <f t="shared" ref="Q287:Q350" si="65" xml:space="preserve"> -0.0232*O287^3 + 0.296*O287^2 + 12.396*O287 + 74.648</f>
        <v>156.69474715368665</v>
      </c>
      <c r="R287" s="11">
        <f t="shared" si="60"/>
        <v>0.41448628421171585</v>
      </c>
      <c r="S287" s="19">
        <f t="shared" si="61"/>
        <v>77.094448863379142</v>
      </c>
      <c r="T287" s="19">
        <f t="shared" si="62"/>
        <v>77.094448863379142</v>
      </c>
      <c r="U287" s="19">
        <f t="shared" si="63"/>
        <v>83.804000000000016</v>
      </c>
    </row>
    <row r="288" spans="14:21" x14ac:dyDescent="0.25">
      <c r="N288" s="10">
        <v>141</v>
      </c>
      <c r="O288" s="17">
        <f t="shared" si="59"/>
        <v>6.1847933611775678</v>
      </c>
      <c r="P288" s="17">
        <f t="shared" si="64"/>
        <v>141</v>
      </c>
      <c r="Q288" s="19">
        <f t="shared" si="65"/>
        <v>157.14856740817143</v>
      </c>
      <c r="R288" s="11">
        <f t="shared" si="60"/>
        <v>0.41339376254265908</v>
      </c>
      <c r="S288" s="19">
        <f t="shared" si="61"/>
        <v>76.891239832934588</v>
      </c>
      <c r="T288" s="19">
        <f t="shared" si="62"/>
        <v>76.891239832934588</v>
      </c>
      <c r="U288" s="19">
        <f t="shared" si="63"/>
        <v>83.804000000000016</v>
      </c>
    </row>
    <row r="289" spans="14:21" x14ac:dyDescent="0.25">
      <c r="N289" s="10">
        <v>141.5</v>
      </c>
      <c r="O289" s="17">
        <f t="shared" si="59"/>
        <v>6.2186875497285694</v>
      </c>
      <c r="P289" s="17">
        <f t="shared" si="64"/>
        <v>141.5</v>
      </c>
      <c r="Q289" s="19">
        <f t="shared" si="65"/>
        <v>157.60242745160116</v>
      </c>
      <c r="R289" s="11">
        <f t="shared" si="60"/>
        <v>0.41230040162165904</v>
      </c>
      <c r="S289" s="19">
        <f t="shared" si="61"/>
        <v>76.687874701628587</v>
      </c>
      <c r="T289" s="19">
        <f t="shared" si="62"/>
        <v>76.687874701628587</v>
      </c>
      <c r="U289" s="19">
        <f t="shared" si="63"/>
        <v>83.804000000000016</v>
      </c>
    </row>
    <row r="290" spans="14:21" x14ac:dyDescent="0.25">
      <c r="N290" s="10">
        <v>142</v>
      </c>
      <c r="O290" s="17">
        <f t="shared" si="59"/>
        <v>6.2526083645004782</v>
      </c>
      <c r="P290" s="17">
        <f t="shared" si="64"/>
        <v>142</v>
      </c>
      <c r="Q290" s="19">
        <f t="shared" si="65"/>
        <v>158.05632929790673</v>
      </c>
      <c r="R290" s="11">
        <f t="shared" si="60"/>
        <v>0.41120618179030716</v>
      </c>
      <c r="S290" s="19">
        <f t="shared" si="61"/>
        <v>76.484349812997138</v>
      </c>
      <c r="T290" s="19">
        <f t="shared" si="62"/>
        <v>76.484349812997138</v>
      </c>
      <c r="U290" s="19">
        <f t="shared" si="63"/>
        <v>83.804000000000016</v>
      </c>
    </row>
    <row r="291" spans="14:21" x14ac:dyDescent="0.25">
      <c r="N291" s="10">
        <v>142.5</v>
      </c>
      <c r="O291" s="17">
        <f t="shared" si="59"/>
        <v>6.2865564164950127</v>
      </c>
      <c r="P291" s="17">
        <f t="shared" si="64"/>
        <v>142.5</v>
      </c>
      <c r="Q291" s="19">
        <f t="shared" si="65"/>
        <v>158.51027493351873</v>
      </c>
      <c r="R291" s="11">
        <f t="shared" si="60"/>
        <v>0.41011108333887053</v>
      </c>
      <c r="S291" s="19">
        <f t="shared" si="61"/>
        <v>76.280661501029925</v>
      </c>
      <c r="T291" s="19">
        <f t="shared" si="62"/>
        <v>76.280661501029925</v>
      </c>
      <c r="U291" s="19">
        <f t="shared" si="63"/>
        <v>83.804000000000016</v>
      </c>
    </row>
    <row r="292" spans="14:21" x14ac:dyDescent="0.25">
      <c r="N292" s="10">
        <v>143</v>
      </c>
      <c r="O292" s="17">
        <f t="shared" si="59"/>
        <v>6.3205323183956965</v>
      </c>
      <c r="P292" s="17">
        <f t="shared" si="64"/>
        <v>143</v>
      </c>
      <c r="Q292" s="19">
        <f t="shared" si="65"/>
        <v>158.96426631742949</v>
      </c>
      <c r="R292" s="11">
        <f t="shared" si="60"/>
        <v>0.40901508650336466</v>
      </c>
      <c r="S292" s="19">
        <f t="shared" si="61"/>
        <v>76.076806089625819</v>
      </c>
      <c r="T292" s="19">
        <f t="shared" si="62"/>
        <v>76.076806089625819</v>
      </c>
      <c r="U292" s="19">
        <f t="shared" si="63"/>
        <v>83.804000000000016</v>
      </c>
    </row>
    <row r="293" spans="14:21" x14ac:dyDescent="0.25">
      <c r="N293" s="10">
        <v>143.5</v>
      </c>
      <c r="O293" s="17">
        <f t="shared" si="59"/>
        <v>6.3545366846593314</v>
      </c>
      <c r="P293" s="17">
        <f t="shared" si="64"/>
        <v>143.5</v>
      </c>
      <c r="Q293" s="19">
        <f t="shared" si="65"/>
        <v>159.41830538124992</v>
      </c>
      <c r="R293" s="11">
        <f t="shared" si="60"/>
        <v>0.40791817146260217</v>
      </c>
      <c r="S293" s="19">
        <f t="shared" si="61"/>
        <v>75.872779892044008</v>
      </c>
      <c r="T293" s="19">
        <f t="shared" si="62"/>
        <v>75.872779892044008</v>
      </c>
      <c r="U293" s="19">
        <f t="shared" si="63"/>
        <v>83.804000000000016</v>
      </c>
    </row>
    <row r="294" spans="14:21" x14ac:dyDescent="0.25">
      <c r="N294" s="10">
        <v>144</v>
      </c>
      <c r="O294" s="17">
        <f t="shared" si="59"/>
        <v>6.3885701316082786</v>
      </c>
      <c r="P294" s="17">
        <f t="shared" si="64"/>
        <v>144</v>
      </c>
      <c r="Q294" s="19">
        <f t="shared" si="65"/>
        <v>159.8723940292611</v>
      </c>
      <c r="R294" s="11">
        <f t="shared" si="60"/>
        <v>0.40682031833521676</v>
      </c>
      <c r="S294" s="19">
        <f t="shared" si="61"/>
        <v>75.668579210350316</v>
      </c>
      <c r="T294" s="19">
        <f t="shared" si="62"/>
        <v>75.668579210350316</v>
      </c>
      <c r="U294" s="19">
        <f t="shared" si="63"/>
        <v>83.804000000000016</v>
      </c>
    </row>
    <row r="295" spans="14:21" x14ac:dyDescent="0.25">
      <c r="N295" s="10">
        <v>144.5</v>
      </c>
      <c r="O295" s="17">
        <f t="shared" si="59"/>
        <v>6.4226332775235786</v>
      </c>
      <c r="P295" s="17">
        <f t="shared" si="64"/>
        <v>144.5</v>
      </c>
      <c r="Q295" s="19">
        <f t="shared" si="65"/>
        <v>160.32653413846137</v>
      </c>
      <c r="R295" s="11">
        <f t="shared" si="60"/>
        <v>0.40572150717665872</v>
      </c>
      <c r="S295" s="19">
        <f t="shared" si="61"/>
        <v>75.464200334858518</v>
      </c>
      <c r="T295" s="19">
        <f t="shared" si="62"/>
        <v>75.464200334858518</v>
      </c>
      <c r="U295" s="19">
        <f t="shared" si="63"/>
        <v>83.804000000000016</v>
      </c>
    </row>
    <row r="296" spans="14:21" x14ac:dyDescent="0.25">
      <c r="N296" s="10">
        <v>145</v>
      </c>
      <c r="O296" s="17">
        <f t="shared" si="59"/>
        <v>6.4567267427389439</v>
      </c>
      <c r="P296" s="17">
        <f t="shared" si="64"/>
        <v>145</v>
      </c>
      <c r="Q296" s="19">
        <f t="shared" si="65"/>
        <v>160.7807275586074</v>
      </c>
      <c r="R296" s="11">
        <f t="shared" si="60"/>
        <v>0.40462171797616309</v>
      </c>
      <c r="S296" s="19">
        <f t="shared" si="61"/>
        <v>75.259639543566337</v>
      </c>
      <c r="T296" s="19">
        <f t="shared" si="62"/>
        <v>75.259639543566337</v>
      </c>
      <c r="U296" s="19">
        <f t="shared" si="63"/>
        <v>83.804000000000016</v>
      </c>
    </row>
    <row r="297" spans="14:21" x14ac:dyDescent="0.25">
      <c r="N297" s="10">
        <v>145.5</v>
      </c>
      <c r="O297" s="17">
        <f t="shared" si="59"/>
        <v>6.490851149735696</v>
      </c>
      <c r="P297" s="17">
        <f t="shared" si="64"/>
        <v>145.5</v>
      </c>
      <c r="Q297" s="19">
        <f t="shared" si="65"/>
        <v>161.23497611225125</v>
      </c>
      <c r="R297" s="11">
        <f t="shared" si="60"/>
        <v>0.40352093065368716</v>
      </c>
      <c r="S297" s="19">
        <f t="shared" si="61"/>
        <v>75.054893101585819</v>
      </c>
      <c r="T297" s="19">
        <f t="shared" si="62"/>
        <v>75.054893101585819</v>
      </c>
      <c r="U297" s="19">
        <f t="shared" si="63"/>
        <v>83.804000000000016</v>
      </c>
    </row>
    <row r="298" spans="14:21" x14ac:dyDescent="0.25">
      <c r="N298" s="10">
        <v>146</v>
      </c>
      <c r="O298" s="17">
        <f t="shared" si="59"/>
        <v>6.5250071232386775</v>
      </c>
      <c r="P298" s="17">
        <f t="shared" si="64"/>
        <v>146</v>
      </c>
      <c r="Q298" s="19">
        <f t="shared" si="65"/>
        <v>161.68928159477181</v>
      </c>
      <c r="R298" s="11">
        <f t="shared" si="60"/>
        <v>0.40241912505681687</v>
      </c>
      <c r="S298" s="19">
        <f t="shared" si="61"/>
        <v>74.849957260567933</v>
      </c>
      <c r="T298" s="19">
        <f t="shared" si="62"/>
        <v>74.849957260567933</v>
      </c>
      <c r="U298" s="19">
        <f t="shared" si="63"/>
        <v>83.804000000000016</v>
      </c>
    </row>
    <row r="299" spans="14:21" x14ac:dyDescent="0.25">
      <c r="N299" s="10">
        <v>146.5</v>
      </c>
      <c r="O299" s="17">
        <f t="shared" si="59"/>
        <v>6.5591952903131867</v>
      </c>
      <c r="P299" s="17">
        <f t="shared" si="64"/>
        <v>146.5</v>
      </c>
      <c r="Q299" s="19">
        <f t="shared" si="65"/>
        <v>162.14364577440176</v>
      </c>
      <c r="R299" s="11">
        <f t="shared" si="60"/>
        <v>0.4013162809576391</v>
      </c>
      <c r="S299" s="19">
        <f t="shared" si="61"/>
        <v>74.644828258120867</v>
      </c>
      <c r="T299" s="19">
        <f t="shared" si="62"/>
        <v>74.644828258120867</v>
      </c>
      <c r="U299" s="19">
        <f t="shared" si="63"/>
        <v>83.804000000000016</v>
      </c>
    </row>
    <row r="300" spans="14:21" x14ac:dyDescent="0.25">
      <c r="N300" s="10">
        <v>147</v>
      </c>
      <c r="O300" s="17">
        <f t="shared" si="59"/>
        <v>6.5934162804629848</v>
      </c>
      <c r="P300" s="17">
        <f t="shared" si="64"/>
        <v>147</v>
      </c>
      <c r="Q300" s="19">
        <f t="shared" si="65"/>
        <v>162.59807039224938</v>
      </c>
      <c r="R300" s="11">
        <f t="shared" si="60"/>
        <v>0.4002123780495811</v>
      </c>
      <c r="S300" s="19">
        <f t="shared" si="61"/>
        <v>74.439502317222079</v>
      </c>
      <c r="T300" s="19">
        <f t="shared" si="62"/>
        <v>74.439502317222079</v>
      </c>
      <c r="U300" s="19">
        <f t="shared" si="63"/>
        <v>83.804000000000016</v>
      </c>
    </row>
    <row r="301" spans="14:21" x14ac:dyDescent="0.25">
      <c r="N301" s="10">
        <v>147.5</v>
      </c>
      <c r="O301" s="17">
        <f t="shared" si="59"/>
        <v>6.6276707257294518</v>
      </c>
      <c r="P301" s="17">
        <f t="shared" si="64"/>
        <v>147.5</v>
      </c>
      <c r="Q301" s="19">
        <f t="shared" si="65"/>
        <v>163.05255716231568</v>
      </c>
      <c r="R301" s="11">
        <f t="shared" si="60"/>
        <v>0.39910739594421124</v>
      </c>
      <c r="S301" s="19">
        <f t="shared" si="61"/>
        <v>74.233975645623289</v>
      </c>
      <c r="T301" s="19">
        <f t="shared" si="62"/>
        <v>74.233975645623289</v>
      </c>
      <c r="U301" s="19">
        <f t="shared" si="63"/>
        <v>83.804000000000016</v>
      </c>
    </row>
    <row r="302" spans="14:21" x14ac:dyDescent="0.25">
      <c r="N302" s="10">
        <v>148</v>
      </c>
      <c r="O302" s="17">
        <f t="shared" si="59"/>
        <v>6.6619592607919005</v>
      </c>
      <c r="P302" s="17">
        <f t="shared" si="64"/>
        <v>148</v>
      </c>
      <c r="Q302" s="19">
        <f t="shared" si="65"/>
        <v>163.50710777150692</v>
      </c>
      <c r="R302" s="11">
        <f t="shared" si="60"/>
        <v>0.39800131416800322</v>
      </c>
      <c r="S302" s="19">
        <f t="shared" si="61"/>
        <v>74.028244435248595</v>
      </c>
      <c r="T302" s="19">
        <f t="shared" si="62"/>
        <v>74.028244435248595</v>
      </c>
      <c r="U302" s="19">
        <f t="shared" si="63"/>
        <v>83.804000000000016</v>
      </c>
    </row>
    <row r="303" spans="14:21" x14ac:dyDescent="0.25">
      <c r="N303" s="10">
        <v>148.5</v>
      </c>
      <c r="O303" s="17">
        <f t="shared" si="59"/>
        <v>6.6962825230691356</v>
      </c>
      <c r="P303" s="17">
        <f t="shared" si="64"/>
        <v>148.5</v>
      </c>
      <c r="Q303" s="19">
        <f t="shared" si="65"/>
        <v>163.96172387964219</v>
      </c>
      <c r="R303" s="11">
        <f t="shared" si="60"/>
        <v>0.39689411215906012</v>
      </c>
      <c r="S303" s="19">
        <f t="shared" si="61"/>
        <v>73.822304861585181</v>
      </c>
      <c r="T303" s="19">
        <f t="shared" si="62"/>
        <v>73.822304861585181</v>
      </c>
      <c r="U303" s="19">
        <f t="shared" si="63"/>
        <v>83.804000000000016</v>
      </c>
    </row>
    <row r="304" spans="14:21" x14ac:dyDescent="0.25">
      <c r="N304" s="10">
        <v>149</v>
      </c>
      <c r="O304" s="17">
        <f t="shared" si="59"/>
        <v>6.7306411528223054</v>
      </c>
      <c r="P304" s="17">
        <f t="shared" si="64"/>
        <v>149</v>
      </c>
      <c r="Q304" s="19">
        <f t="shared" si="65"/>
        <v>164.41640711945644</v>
      </c>
      <c r="R304" s="11">
        <f t="shared" si="60"/>
        <v>0.39578576926379661</v>
      </c>
      <c r="S304" s="19">
        <f t="shared" si="61"/>
        <v>73.616153083066166</v>
      </c>
      <c r="T304" s="19">
        <f t="shared" si="62"/>
        <v>73.616153083066166</v>
      </c>
      <c r="U304" s="19">
        <f t="shared" si="63"/>
        <v>83.804000000000016</v>
      </c>
    </row>
    <row r="305" spans="14:21" x14ac:dyDescent="0.25">
      <c r="N305" s="10">
        <v>149.5</v>
      </c>
      <c r="O305" s="17">
        <f t="shared" si="59"/>
        <v>6.7650357932590905</v>
      </c>
      <c r="P305" s="17">
        <f t="shared" si="64"/>
        <v>149.5</v>
      </c>
      <c r="Q305" s="19">
        <f t="shared" si="65"/>
        <v>164.87115909659889</v>
      </c>
      <c r="R305" s="11">
        <f t="shared" si="60"/>
        <v>0.3946762647335777</v>
      </c>
      <c r="S305" s="19">
        <f t="shared" si="61"/>
        <v>73.409785240445458</v>
      </c>
      <c r="T305" s="19">
        <f t="shared" si="62"/>
        <v>73.409785240445458</v>
      </c>
      <c r="U305" s="19">
        <f t="shared" si="63"/>
        <v>83.804000000000016</v>
      </c>
    </row>
    <row r="306" spans="14:21" x14ac:dyDescent="0.25">
      <c r="N306" s="10">
        <v>150</v>
      </c>
      <c r="O306" s="17">
        <f t="shared" si="59"/>
        <v>6.7994670906392987</v>
      </c>
      <c r="P306" s="17">
        <f t="shared" si="64"/>
        <v>150</v>
      </c>
      <c r="Q306" s="19">
        <f t="shared" si="65"/>
        <v>165.32598138962683</v>
      </c>
      <c r="R306" s="11">
        <f t="shared" si="60"/>
        <v>0.39356557772131295</v>
      </c>
      <c r="S306" s="19">
        <f t="shared" si="61"/>
        <v>73.203197456164204</v>
      </c>
      <c r="T306" s="19">
        <f t="shared" si="62"/>
        <v>73.203197456164204</v>
      </c>
      <c r="U306" s="19">
        <f t="shared" si="63"/>
        <v>83.804000000000016</v>
      </c>
    </row>
    <row r="307" spans="14:21" x14ac:dyDescent="0.25">
      <c r="N307" s="10">
        <v>150.5</v>
      </c>
      <c r="O307" s="17">
        <f t="shared" si="59"/>
        <v>6.8339356943819363</v>
      </c>
      <c r="P307" s="17">
        <f t="shared" si="64"/>
        <v>150.5</v>
      </c>
      <c r="Q307" s="19">
        <f t="shared" si="65"/>
        <v>165.78087554999524</v>
      </c>
      <c r="R307" s="11">
        <f t="shared" si="60"/>
        <v>0.39245368727800206</v>
      </c>
      <c r="S307" s="19">
        <f t="shared" si="61"/>
        <v>72.996385833708388</v>
      </c>
      <c r="T307" s="19">
        <f t="shared" si="62"/>
        <v>72.996385833708388</v>
      </c>
      <c r="U307" s="19">
        <f t="shared" si="63"/>
        <v>83.804000000000016</v>
      </c>
    </row>
    <row r="308" spans="14:21" x14ac:dyDescent="0.25">
      <c r="N308" s="10">
        <v>151</v>
      </c>
      <c r="O308" s="17">
        <f t="shared" si="59"/>
        <v>6.868442257173772</v>
      </c>
      <c r="P308" s="17">
        <f t="shared" si="64"/>
        <v>151</v>
      </c>
      <c r="Q308" s="19">
        <f t="shared" si="65"/>
        <v>166.23584310204126</v>
      </c>
      <c r="R308" s="11">
        <f t="shared" si="60"/>
        <v>0.39134057234923314</v>
      </c>
      <c r="S308" s="19">
        <f t="shared" si="61"/>
        <v>72.789346456957361</v>
      </c>
      <c r="T308" s="19">
        <f t="shared" si="62"/>
        <v>72.789346456957361</v>
      </c>
      <c r="U308" s="19">
        <f t="shared" si="63"/>
        <v>83.804000000000016</v>
      </c>
    </row>
    <row r="309" spans="14:21" x14ac:dyDescent="0.25">
      <c r="N309" s="10">
        <v>151.5</v>
      </c>
      <c r="O309" s="17">
        <f t="shared" si="59"/>
        <v>6.9029874350795328</v>
      </c>
      <c r="P309" s="17">
        <f t="shared" si="64"/>
        <v>151.5</v>
      </c>
      <c r="Q309" s="19">
        <f t="shared" si="65"/>
        <v>166.69088554296496</v>
      </c>
      <c r="R309" s="11">
        <f t="shared" si="60"/>
        <v>0.39022621177162797</v>
      </c>
      <c r="S309" s="19">
        <f t="shared" si="61"/>
        <v>72.582075389522799</v>
      </c>
      <c r="T309" s="19">
        <f t="shared" si="62"/>
        <v>72.582075389522799</v>
      </c>
      <c r="U309" s="19">
        <f t="shared" si="63"/>
        <v>83.804000000000016</v>
      </c>
    </row>
    <row r="310" spans="14:21" x14ac:dyDescent="0.25">
      <c r="N310" s="10">
        <v>152</v>
      </c>
      <c r="O310" s="17">
        <f t="shared" si="59"/>
        <v>6.9375718876537205</v>
      </c>
      <c r="P310" s="17">
        <f t="shared" si="64"/>
        <v>152</v>
      </c>
      <c r="Q310" s="19">
        <f t="shared" si="65"/>
        <v>167.14600434280564</v>
      </c>
      <c r="R310" s="11">
        <f t="shared" si="60"/>
        <v>0.38911058426923478</v>
      </c>
      <c r="S310" s="19">
        <f t="shared" si="61"/>
        <v>72.374568674077665</v>
      </c>
      <c r="T310" s="19">
        <f t="shared" si="62"/>
        <v>72.374568674077665</v>
      </c>
      <c r="U310" s="19">
        <f t="shared" si="63"/>
        <v>83.804000000000016</v>
      </c>
    </row>
    <row r="311" spans="14:21" x14ac:dyDescent="0.25">
      <c r="N311" s="10">
        <v>152.5</v>
      </c>
      <c r="O311" s="17">
        <f t="shared" si="59"/>
        <v>6.972196278054156</v>
      </c>
      <c r="P311" s="17">
        <f t="shared" si="64"/>
        <v>152.5</v>
      </c>
      <c r="Q311" s="19">
        <f t="shared" si="65"/>
        <v>167.60120094441336</v>
      </c>
      <c r="R311" s="11">
        <f t="shared" si="60"/>
        <v>0.38799366844986594</v>
      </c>
      <c r="S311" s="19">
        <f t="shared" si="61"/>
        <v>72.166822331675064</v>
      </c>
      <c r="T311" s="19">
        <f t="shared" si="62"/>
        <v>72.166822331675064</v>
      </c>
      <c r="U311" s="19">
        <f t="shared" si="63"/>
        <v>83.804000000000016</v>
      </c>
    </row>
    <row r="312" spans="14:21" x14ac:dyDescent="0.25">
      <c r="N312" s="10">
        <v>153</v>
      </c>
      <c r="O312" s="17">
        <f t="shared" si="59"/>
        <v>7.0068612731573143</v>
      </c>
      <c r="P312" s="17">
        <f t="shared" si="64"/>
        <v>153</v>
      </c>
      <c r="Q312" s="19">
        <f t="shared" si="65"/>
        <v>168.05647676341681</v>
      </c>
      <c r="R312" s="11">
        <f t="shared" si="60"/>
        <v>0.38687544280137692</v>
      </c>
      <c r="S312" s="19">
        <f t="shared" si="61"/>
        <v>71.95883236105611</v>
      </c>
      <c r="T312" s="19">
        <f t="shared" si="62"/>
        <v>71.95883236105611</v>
      </c>
      <c r="U312" s="19">
        <f t="shared" si="63"/>
        <v>83.804000000000016</v>
      </c>
    </row>
    <row r="313" spans="14:21" x14ac:dyDescent="0.25">
      <c r="N313" s="10">
        <v>153.5</v>
      </c>
      <c r="O313" s="17">
        <f t="shared" si="59"/>
        <v>7.0415675436755221</v>
      </c>
      <c r="P313" s="17">
        <f t="shared" si="64"/>
        <v>153.5</v>
      </c>
      <c r="Q313" s="19">
        <f t="shared" si="65"/>
        <v>168.5118331881869</v>
      </c>
      <c r="R313" s="11">
        <f t="shared" si="60"/>
        <v>0.38575588568788632</v>
      </c>
      <c r="S313" s="19">
        <f t="shared" si="61"/>
        <v>71.750594737946855</v>
      </c>
      <c r="T313" s="19">
        <f t="shared" si="62"/>
        <v>71.750594737946855</v>
      </c>
      <c r="U313" s="19">
        <f t="shared" si="63"/>
        <v>83.804000000000016</v>
      </c>
    </row>
    <row r="314" spans="14:21" x14ac:dyDescent="0.25">
      <c r="N314" s="10">
        <v>154</v>
      </c>
      <c r="O314" s="17">
        <f t="shared" si="59"/>
        <v>7.0763157642760968</v>
      </c>
      <c r="P314" s="17">
        <f t="shared" si="64"/>
        <v>154</v>
      </c>
      <c r="Q314" s="19">
        <f t="shared" si="65"/>
        <v>168.96727157979615</v>
      </c>
      <c r="R314" s="11">
        <f t="shared" si="60"/>
        <v>0.38463497534593238</v>
      </c>
      <c r="S314" s="19">
        <f t="shared" si="61"/>
        <v>71.542105414343425</v>
      </c>
      <c r="T314" s="19">
        <f t="shared" si="62"/>
        <v>71.542105414343425</v>
      </c>
      <c r="U314" s="19">
        <f t="shared" si="63"/>
        <v>83.804000000000016</v>
      </c>
    </row>
    <row r="315" spans="14:21" x14ac:dyDescent="0.25">
      <c r="N315" s="10">
        <v>154.5</v>
      </c>
      <c r="O315" s="17">
        <f t="shared" si="59"/>
        <v>7.1111066137024617</v>
      </c>
      <c r="P315" s="17">
        <f t="shared" si="64"/>
        <v>154.5</v>
      </c>
      <c r="Q315" s="19">
        <f t="shared" si="65"/>
        <v>169.42279327197397</v>
      </c>
      <c r="R315" s="11">
        <f t="shared" si="60"/>
        <v>0.38351268988056575</v>
      </c>
      <c r="S315" s="19">
        <f t="shared" si="61"/>
        <v>71.333360317785235</v>
      </c>
      <c r="T315" s="19">
        <f t="shared" si="62"/>
        <v>71.333360317785235</v>
      </c>
      <c r="U315" s="19">
        <f t="shared" si="63"/>
        <v>83.804000000000016</v>
      </c>
    </row>
    <row r="316" spans="14:21" x14ac:dyDescent="0.25">
      <c r="N316" s="10">
        <v>155</v>
      </c>
      <c r="O316" s="17">
        <f t="shared" si="59"/>
        <v>7.1459407748973893</v>
      </c>
      <c r="P316" s="17">
        <f t="shared" si="64"/>
        <v>155</v>
      </c>
      <c r="Q316" s="19">
        <f t="shared" si="65"/>
        <v>169.87839957105842</v>
      </c>
      <c r="R316" s="11">
        <f t="shared" si="60"/>
        <v>0.38238900726137448</v>
      </c>
      <c r="S316" s="19">
        <f t="shared" si="61"/>
        <v>71.124355350615659</v>
      </c>
      <c r="T316" s="19">
        <f t="shared" si="62"/>
        <v>71.124355350615659</v>
      </c>
      <c r="U316" s="19">
        <f t="shared" si="63"/>
        <v>83.804000000000016</v>
      </c>
    </row>
    <row r="317" spans="14:21" x14ac:dyDescent="0.25">
      <c r="N317" s="10">
        <v>155.5</v>
      </c>
      <c r="O317" s="17">
        <f t="shared" si="59"/>
        <v>7.180818935128392</v>
      </c>
      <c r="P317" s="17">
        <f t="shared" si="64"/>
        <v>155.5</v>
      </c>
      <c r="Q317" s="19">
        <f t="shared" si="65"/>
        <v>170.33409175594363</v>
      </c>
      <c r="R317" s="11">
        <f t="shared" si="60"/>
        <v>0.38126390531843896</v>
      </c>
      <c r="S317" s="19">
        <f t="shared" si="61"/>
        <v>70.915086389229643</v>
      </c>
      <c r="T317" s="19">
        <f t="shared" si="62"/>
        <v>70.915086389229643</v>
      </c>
      <c r="U317" s="19">
        <f t="shared" si="63"/>
        <v>83.804000000000016</v>
      </c>
    </row>
    <row r="318" spans="14:21" x14ac:dyDescent="0.25">
      <c r="N318" s="10">
        <v>156</v>
      </c>
      <c r="O318" s="17">
        <f t="shared" si="59"/>
        <v>7.2157417861153608</v>
      </c>
      <c r="P318" s="17">
        <f t="shared" si="64"/>
        <v>156</v>
      </c>
      <c r="Q318" s="19">
        <f t="shared" si="65"/>
        <v>170.78987107802368</v>
      </c>
      <c r="R318" s="11">
        <f t="shared" si="60"/>
        <v>0.38013736173821416</v>
      </c>
      <c r="S318" s="19">
        <f t="shared" si="61"/>
        <v>70.705549283307832</v>
      </c>
      <c r="T318" s="19">
        <f t="shared" si="62"/>
        <v>70.705549283307832</v>
      </c>
      <c r="U318" s="19">
        <f t="shared" si="63"/>
        <v>83.804000000000016</v>
      </c>
    </row>
    <row r="319" spans="14:21" x14ac:dyDescent="0.25">
      <c r="N319" s="10">
        <v>156.5</v>
      </c>
      <c r="O319" s="17">
        <f t="shared" si="59"/>
        <v>7.2507100241605578</v>
      </c>
      <c r="P319" s="17">
        <f t="shared" si="64"/>
        <v>156.5</v>
      </c>
      <c r="Q319" s="19">
        <f t="shared" si="65"/>
        <v>171.24573876113288</v>
      </c>
      <c r="R319" s="11">
        <f t="shared" si="60"/>
        <v>0.37900935405933683</v>
      </c>
      <c r="S319" s="19">
        <f t="shared" si="61"/>
        <v>70.495739855036646</v>
      </c>
      <c r="T319" s="19">
        <f t="shared" si="62"/>
        <v>70.495739855036646</v>
      </c>
      <c r="U319" s="19">
        <f t="shared" si="63"/>
        <v>83.804000000000016</v>
      </c>
    </row>
    <row r="320" spans="14:21" x14ac:dyDescent="0.25">
      <c r="N320" s="10">
        <v>157</v>
      </c>
      <c r="O320" s="17">
        <f t="shared" si="59"/>
        <v>7.2857243502810158</v>
      </c>
      <c r="P320" s="17">
        <f t="shared" si="64"/>
        <v>157</v>
      </c>
      <c r="Q320" s="19">
        <f t="shared" si="65"/>
        <v>171.70169600148222</v>
      </c>
      <c r="R320" s="11">
        <f t="shared" si="60"/>
        <v>0.37787985966835436</v>
      </c>
      <c r="S320" s="19">
        <f t="shared" si="61"/>
        <v>70.28565389831391</v>
      </c>
      <c r="T320" s="19">
        <f t="shared" si="62"/>
        <v>70.28565389831391</v>
      </c>
      <c r="U320" s="19">
        <f t="shared" si="63"/>
        <v>83.804000000000016</v>
      </c>
    </row>
    <row r="321" spans="14:21" x14ac:dyDescent="0.25">
      <c r="N321" s="10">
        <v>157.5</v>
      </c>
      <c r="O321" s="17">
        <f t="shared" si="59"/>
        <v>7.3207854703434858</v>
      </c>
      <c r="P321" s="17">
        <f t="shared" si="64"/>
        <v>157.5</v>
      </c>
      <c r="Q321" s="19">
        <f t="shared" si="65"/>
        <v>172.15774396759258</v>
      </c>
      <c r="R321" s="11">
        <f t="shared" si="60"/>
        <v>0.37674885579537143</v>
      </c>
      <c r="S321" s="19">
        <f t="shared" si="61"/>
        <v>70.075287177939089</v>
      </c>
      <c r="T321" s="19">
        <f t="shared" si="62"/>
        <v>70.075287177939089</v>
      </c>
      <c r="U321" s="19">
        <f t="shared" si="63"/>
        <v>83.804000000000016</v>
      </c>
    </row>
    <row r="322" spans="14:21" x14ac:dyDescent="0.25">
      <c r="N322" s="10">
        <v>158</v>
      </c>
      <c r="O322" s="17">
        <f t="shared" si="59"/>
        <v>7.3558940952019691</v>
      </c>
      <c r="P322" s="17">
        <f t="shared" si="64"/>
        <v>158</v>
      </c>
      <c r="Q322" s="19">
        <f t="shared" si="65"/>
        <v>172.61388380022413</v>
      </c>
      <c r="R322" s="11">
        <f t="shared" si="60"/>
        <v>0.37561631950961394</v>
      </c>
      <c r="S322" s="19">
        <f t="shared" si="61"/>
        <v>69.864635428788191</v>
      </c>
      <c r="T322" s="19">
        <f t="shared" si="62"/>
        <v>69.864635428788191</v>
      </c>
      <c r="U322" s="19">
        <f t="shared" si="63"/>
        <v>83.804000000000016</v>
      </c>
    </row>
    <row r="323" spans="14:21" x14ac:dyDescent="0.25">
      <c r="N323" s="10">
        <v>158.5</v>
      </c>
      <c r="O323" s="17">
        <f t="shared" si="59"/>
        <v>7.3910509408379923</v>
      </c>
      <c r="P323" s="17">
        <f t="shared" si="64"/>
        <v>158.5</v>
      </c>
      <c r="Q323" s="19">
        <f t="shared" si="65"/>
        <v>173.07011661230305</v>
      </c>
      <c r="R323" s="11">
        <f t="shared" si="60"/>
        <v>0.37448222771490347</v>
      </c>
      <c r="S323" s="19">
        <f t="shared" si="61"/>
        <v>69.653694354972046</v>
      </c>
      <c r="T323" s="19">
        <f t="shared" si="62"/>
        <v>69.653694354972046</v>
      </c>
      <c r="U323" s="19">
        <f t="shared" si="63"/>
        <v>83.804000000000016</v>
      </c>
    </row>
    <row r="324" spans="14:21" x14ac:dyDescent="0.25">
      <c r="N324" s="10">
        <v>159</v>
      </c>
      <c r="O324" s="17">
        <f t="shared" si="59"/>
        <v>7.4262567285036782</v>
      </c>
      <c r="P324" s="17">
        <f t="shared" si="64"/>
        <v>159</v>
      </c>
      <c r="Q324" s="19">
        <f t="shared" si="65"/>
        <v>173.52644348884451</v>
      </c>
      <c r="R324" s="11">
        <f t="shared" si="60"/>
        <v>0.37334655714504267</v>
      </c>
      <c r="S324" s="19">
        <f t="shared" si="61"/>
        <v>69.442459628977943</v>
      </c>
      <c r="T324" s="19">
        <f t="shared" si="62"/>
        <v>69.442459628977943</v>
      </c>
      <c r="U324" s="19">
        <f t="shared" si="63"/>
        <v>83.804000000000016</v>
      </c>
    </row>
    <row r="325" spans="14:21" x14ac:dyDescent="0.25">
      <c r="N325" s="10">
        <v>159.5</v>
      </c>
      <c r="O325" s="17">
        <f t="shared" si="59"/>
        <v>7.461512184867753</v>
      </c>
      <c r="P325" s="17">
        <f t="shared" si="64"/>
        <v>159.5</v>
      </c>
      <c r="Q325" s="19">
        <f t="shared" si="65"/>
        <v>173.98286548687281</v>
      </c>
      <c r="R325" s="11">
        <f t="shared" si="60"/>
        <v>0.37220928435910472</v>
      </c>
      <c r="S325" s="19">
        <f t="shared" si="61"/>
        <v>69.230926890793484</v>
      </c>
      <c r="T325" s="19">
        <f t="shared" si="62"/>
        <v>69.230926890793484</v>
      </c>
      <c r="U325" s="19">
        <f t="shared" si="63"/>
        <v>83.804000000000016</v>
      </c>
    </row>
    <row r="326" spans="14:21" x14ac:dyDescent="0.25">
      <c r="N326" s="10">
        <v>160</v>
      </c>
      <c r="O326" s="17">
        <f t="shared" ref="O326:O389" si="66">IF(N326=0,$B$5,IF(N326&gt;$B$9,NA(),-($B$6-$B$5)*(1-(N326/$B$9))^(0.985*((N326/$B$9)^(-0.625)))+$B$6))</f>
        <v>7.4968180421645982</v>
      </c>
      <c r="P326" s="17">
        <f t="shared" si="64"/>
        <v>160</v>
      </c>
      <c r="Q326" s="19">
        <f t="shared" si="65"/>
        <v>174.43938363533883</v>
      </c>
      <c r="R326" s="11">
        <f t="shared" ref="R326:R389" si="67">$B$13*($B$8-O326)</f>
        <v>0.37107038573662587</v>
      </c>
      <c r="S326" s="19">
        <f t="shared" ref="S326:S389" si="68">R326*$B$20</f>
        <v>69.019091747012411</v>
      </c>
      <c r="T326" s="19">
        <f t="shared" ref="T326:T389" si="69">R326*$B$20</f>
        <v>69.019091747012411</v>
      </c>
      <c r="U326" s="19">
        <f t="shared" ref="U326:U389" si="70">$B$21/2</f>
        <v>83.804000000000016</v>
      </c>
    </row>
    <row r="327" spans="14:21" x14ac:dyDescent="0.25">
      <c r="N327" s="10">
        <v>160.5</v>
      </c>
      <c r="O327" s="17">
        <f t="shared" si="66"/>
        <v>7.532175038346435</v>
      </c>
      <c r="P327" s="17">
        <f t="shared" ref="P327:P390" si="71">N327</f>
        <v>160.5</v>
      </c>
      <c r="Q327" s="19">
        <f t="shared" si="65"/>
        <v>174.89599893503436</v>
      </c>
      <c r="R327" s="11">
        <f t="shared" si="67"/>
        <v>0.36992983747269564</v>
      </c>
      <c r="S327" s="19">
        <f t="shared" si="68"/>
        <v>68.806949769921388</v>
      </c>
      <c r="T327" s="19">
        <f t="shared" si="69"/>
        <v>68.806949769921388</v>
      </c>
      <c r="U327" s="19">
        <f t="shared" si="70"/>
        <v>83.804000000000016</v>
      </c>
    </row>
    <row r="328" spans="14:21" x14ac:dyDescent="0.25">
      <c r="N328" s="10">
        <v>161</v>
      </c>
      <c r="O328" s="17">
        <f t="shared" si="66"/>
        <v>7.5675839172387818</v>
      </c>
      <c r="P328" s="17">
        <f t="shared" si="71"/>
        <v>161</v>
      </c>
      <c r="Q328" s="19">
        <f t="shared" si="65"/>
        <v>175.35271235850382</v>
      </c>
      <c r="R328" s="11">
        <f t="shared" si="67"/>
        <v>0.36878761557294254</v>
      </c>
      <c r="S328" s="19">
        <f t="shared" si="68"/>
        <v>68.594496496567317</v>
      </c>
      <c r="T328" s="19">
        <f t="shared" si="69"/>
        <v>68.594496496567317</v>
      </c>
      <c r="U328" s="19">
        <f t="shared" si="70"/>
        <v>83.804000000000016</v>
      </c>
    </row>
    <row r="329" spans="14:21" x14ac:dyDescent="0.25">
      <c r="N329" s="10">
        <v>161.5</v>
      </c>
      <c r="O329" s="17">
        <f t="shared" si="66"/>
        <v>7.6030454286993265</v>
      </c>
      <c r="P329" s="17">
        <f t="shared" si="71"/>
        <v>161.5</v>
      </c>
      <c r="Q329" s="19">
        <f t="shared" si="65"/>
        <v>175.80952484995393</v>
      </c>
      <c r="R329" s="11">
        <f t="shared" si="67"/>
        <v>0.36764369584840884</v>
      </c>
      <c r="S329" s="19">
        <f t="shared" si="68"/>
        <v>68.381727427804037</v>
      </c>
      <c r="T329" s="19">
        <f t="shared" si="69"/>
        <v>68.381727427804037</v>
      </c>
      <c r="U329" s="19">
        <f t="shared" si="70"/>
        <v>83.804000000000016</v>
      </c>
    </row>
    <row r="330" spans="14:21" x14ac:dyDescent="0.25">
      <c r="N330" s="10">
        <v>162</v>
      </c>
      <c r="O330" s="17">
        <f t="shared" si="66"/>
        <v>7.6385603287802946</v>
      </c>
      <c r="P330" s="17">
        <f t="shared" si="71"/>
        <v>162</v>
      </c>
      <c r="Q330" s="19">
        <f t="shared" si="65"/>
        <v>176.26643732516052</v>
      </c>
      <c r="R330" s="11">
        <f t="shared" si="67"/>
        <v>0.36649805391031309</v>
      </c>
      <c r="S330" s="19">
        <f t="shared" si="68"/>
        <v>68.168638027318238</v>
      </c>
      <c r="T330" s="19">
        <f t="shared" si="69"/>
        <v>68.168638027318238</v>
      </c>
      <c r="U330" s="19">
        <f t="shared" si="70"/>
        <v>83.804000000000016</v>
      </c>
    </row>
    <row r="331" spans="14:21" x14ac:dyDescent="0.25">
      <c r="N331" s="10">
        <v>162.5</v>
      </c>
      <c r="O331" s="17">
        <f t="shared" si="66"/>
        <v>7.6741293798944907</v>
      </c>
      <c r="P331" s="17">
        <f t="shared" si="71"/>
        <v>162.5</v>
      </c>
      <c r="Q331" s="19">
        <f t="shared" si="65"/>
        <v>176.7234506713736</v>
      </c>
      <c r="R331" s="11">
        <f t="shared" si="67"/>
        <v>0.36535066516469383</v>
      </c>
      <c r="S331" s="19">
        <f t="shared" si="68"/>
        <v>67.955223720633057</v>
      </c>
      <c r="T331" s="19">
        <f t="shared" si="69"/>
        <v>67.955223720633057</v>
      </c>
      <c r="U331" s="19">
        <f t="shared" si="70"/>
        <v>83.804000000000016</v>
      </c>
    </row>
    <row r="332" spans="14:21" x14ac:dyDescent="0.25">
      <c r="N332" s="10">
        <v>163</v>
      </c>
      <c r="O332" s="17">
        <f t="shared" si="66"/>
        <v>7.709753350985137</v>
      </c>
      <c r="P332" s="17">
        <f t="shared" si="71"/>
        <v>163</v>
      </c>
      <c r="Q332" s="19">
        <f t="shared" si="65"/>
        <v>177.18056574722038</v>
      </c>
      <c r="R332" s="11">
        <f t="shared" si="67"/>
        <v>0.36420150480693103</v>
      </c>
      <c r="S332" s="19">
        <f t="shared" si="68"/>
        <v>67.741479894089167</v>
      </c>
      <c r="T332" s="19">
        <f t="shared" si="69"/>
        <v>67.741479894089167</v>
      </c>
      <c r="U332" s="19">
        <f t="shared" si="70"/>
        <v>83.804000000000016</v>
      </c>
    </row>
    <row r="333" spans="14:21" x14ac:dyDescent="0.25">
      <c r="N333" s="10">
        <v>163.5</v>
      </c>
      <c r="O333" s="17">
        <f t="shared" si="66"/>
        <v>7.7454330176996349</v>
      </c>
      <c r="P333" s="17">
        <f t="shared" si="71"/>
        <v>163.5</v>
      </c>
      <c r="Q333" s="19">
        <f t="shared" si="65"/>
        <v>177.63778338260639</v>
      </c>
      <c r="R333" s="11">
        <f t="shared" si="67"/>
        <v>0.36305054781614077</v>
      </c>
      <c r="S333" s="19">
        <f t="shared" si="68"/>
        <v>67.527401893802178</v>
      </c>
      <c r="T333" s="19">
        <f t="shared" si="69"/>
        <v>67.527401893802178</v>
      </c>
      <c r="U333" s="19">
        <f t="shared" si="70"/>
        <v>83.804000000000016</v>
      </c>
    </row>
    <row r="334" spans="14:21" x14ac:dyDescent="0.25">
      <c r="N334" s="10">
        <v>164</v>
      </c>
      <c r="O334" s="17">
        <f t="shared" si="66"/>
        <v>7.7811691625674602</v>
      </c>
      <c r="P334" s="17">
        <f t="shared" si="71"/>
        <v>164</v>
      </c>
      <c r="Q334" s="19">
        <f t="shared" si="65"/>
        <v>178.09510437861567</v>
      </c>
      <c r="R334" s="11">
        <f t="shared" si="67"/>
        <v>0.36189776894943676</v>
      </c>
      <c r="S334" s="19">
        <f t="shared" si="68"/>
        <v>67.312985024595235</v>
      </c>
      <c r="T334" s="19">
        <f t="shared" si="69"/>
        <v>67.312985024595235</v>
      </c>
      <c r="U334" s="19">
        <f t="shared" si="70"/>
        <v>83.804000000000016</v>
      </c>
    </row>
    <row r="335" spans="14:21" x14ac:dyDescent="0.25">
      <c r="N335" s="10">
        <v>164.5</v>
      </c>
      <c r="O335" s="17">
        <f t="shared" si="66"/>
        <v>7.8169625751822585</v>
      </c>
      <c r="P335" s="17">
        <f t="shared" si="71"/>
        <v>164.5</v>
      </c>
      <c r="Q335" s="19">
        <f t="shared" si="65"/>
        <v>178.55252950740896</v>
      </c>
      <c r="R335" s="11">
        <f t="shared" si="67"/>
        <v>0.36074314273605612</v>
      </c>
      <c r="S335" s="19">
        <f t="shared" si="68"/>
        <v>67.098224548906444</v>
      </c>
      <c r="T335" s="19">
        <f t="shared" si="69"/>
        <v>67.098224548906444</v>
      </c>
      <c r="U335" s="19">
        <f t="shared" si="70"/>
        <v>83.804000000000016</v>
      </c>
    </row>
    <row r="336" spans="14:21" x14ac:dyDescent="0.25">
      <c r="N336" s="10">
        <v>165</v>
      </c>
      <c r="O336" s="17">
        <f t="shared" si="66"/>
        <v>7.8528140523883891</v>
      </c>
      <c r="P336" s="17">
        <f t="shared" si="71"/>
        <v>165</v>
      </c>
      <c r="Q336" s="19">
        <f t="shared" si="65"/>
        <v>179.01005951212136</v>
      </c>
      <c r="R336" s="11">
        <f t="shared" si="67"/>
        <v>0.35958664347134228</v>
      </c>
      <c r="S336" s="19">
        <f t="shared" si="68"/>
        <v>66.883115685669665</v>
      </c>
      <c r="T336" s="19">
        <f t="shared" si="69"/>
        <v>66.883115685669665</v>
      </c>
      <c r="U336" s="19">
        <f t="shared" si="70"/>
        <v>83.804000000000016</v>
      </c>
    </row>
    <row r="337" spans="14:21" x14ac:dyDescent="0.25">
      <c r="N337" s="10">
        <v>165.5</v>
      </c>
      <c r="O337" s="17">
        <f t="shared" si="66"/>
        <v>7.8887243984720588</v>
      </c>
      <c r="P337" s="17">
        <f t="shared" si="71"/>
        <v>165.5</v>
      </c>
      <c r="Q337" s="19">
        <f t="shared" si="65"/>
        <v>179.46769510675924</v>
      </c>
      <c r="R337" s="11">
        <f t="shared" si="67"/>
        <v>0.35842824521057876</v>
      </c>
      <c r="S337" s="19">
        <f t="shared" si="68"/>
        <v>66.667653609167644</v>
      </c>
      <c r="T337" s="19">
        <f t="shared" si="69"/>
        <v>66.667653609167644</v>
      </c>
      <c r="U337" s="19">
        <f t="shared" si="70"/>
        <v>83.804000000000016</v>
      </c>
    </row>
    <row r="338" spans="14:21" x14ac:dyDescent="0.25">
      <c r="N338" s="10">
        <v>166</v>
      </c>
      <c r="O338" s="17">
        <f t="shared" si="66"/>
        <v>7.9246944253571812</v>
      </c>
      <c r="P338" s="17">
        <f t="shared" si="71"/>
        <v>166</v>
      </c>
      <c r="Q338" s="19">
        <f t="shared" si="65"/>
        <v>179.92543697609631</v>
      </c>
      <c r="R338" s="11">
        <f t="shared" si="67"/>
        <v>0.35726792176267158</v>
      </c>
      <c r="S338" s="19">
        <f t="shared" si="68"/>
        <v>66.451833447856913</v>
      </c>
      <c r="T338" s="19">
        <f t="shared" si="69"/>
        <v>66.451833447856913</v>
      </c>
      <c r="U338" s="19">
        <f t="shared" si="70"/>
        <v>83.804000000000016</v>
      </c>
    </row>
    <row r="339" spans="14:21" x14ac:dyDescent="0.25">
      <c r="N339" s="10">
        <v>166.5</v>
      </c>
      <c r="O339" s="17">
        <f t="shared" si="66"/>
        <v>7.9607249528062312</v>
      </c>
      <c r="P339" s="17">
        <f t="shared" si="71"/>
        <v>166.5</v>
      </c>
      <c r="Q339" s="19">
        <f t="shared" si="65"/>
        <v>180.38328577557004</v>
      </c>
      <c r="R339" s="11">
        <f t="shared" si="67"/>
        <v>0.35610564668366995</v>
      </c>
      <c r="S339" s="19">
        <f t="shared" si="68"/>
        <v>66.235650283162613</v>
      </c>
      <c r="T339" s="19">
        <f t="shared" si="69"/>
        <v>66.235650283162613</v>
      </c>
      <c r="U339" s="19">
        <f t="shared" si="70"/>
        <v>83.804000000000016</v>
      </c>
    </row>
    <row r="340" spans="14:21" x14ac:dyDescent="0.25">
      <c r="N340" s="10">
        <v>167</v>
      </c>
      <c r="O340" s="17">
        <f t="shared" si="66"/>
        <v>7.996816808626221</v>
      </c>
      <c r="P340" s="17">
        <f t="shared" si="71"/>
        <v>167</v>
      </c>
      <c r="Q340" s="19">
        <f t="shared" si="65"/>
        <v>180.84124213117803</v>
      </c>
      <c r="R340" s="11">
        <f t="shared" si="67"/>
        <v>0.35494139327012192</v>
      </c>
      <c r="S340" s="19">
        <f t="shared" si="68"/>
        <v>66.019099148242674</v>
      </c>
      <c r="T340" s="19">
        <f t="shared" si="69"/>
        <v>66.019099148242674</v>
      </c>
      <c r="U340" s="19">
        <f t="shared" si="70"/>
        <v>83.804000000000016</v>
      </c>
    </row>
    <row r="341" spans="14:21" x14ac:dyDescent="0.25">
      <c r="N341" s="10">
        <v>167.5</v>
      </c>
      <c r="O341" s="17">
        <f t="shared" si="66"/>
        <v>8.0329708288800177</v>
      </c>
      <c r="P341" s="17">
        <f t="shared" si="71"/>
        <v>167.5</v>
      </c>
      <c r="Q341" s="19">
        <f t="shared" si="65"/>
        <v>181.29930663937469</v>
      </c>
      <c r="R341" s="11">
        <f t="shared" si="67"/>
        <v>0.35377513455225751</v>
      </c>
      <c r="S341" s="19">
        <f t="shared" si="68"/>
        <v>65.802175026719894</v>
      </c>
      <c r="T341" s="19">
        <f t="shared" si="69"/>
        <v>65.802175026719894</v>
      </c>
      <c r="U341" s="19">
        <f t="shared" si="70"/>
        <v>83.804000000000016</v>
      </c>
    </row>
    <row r="342" spans="14:21" x14ac:dyDescent="0.25">
      <c r="N342" s="10">
        <v>168</v>
      </c>
      <c r="O342" s="17">
        <f t="shared" si="66"/>
        <v>8.0691878581032448</v>
      </c>
      <c r="P342" s="17">
        <f t="shared" si="71"/>
        <v>168</v>
      </c>
      <c r="Q342" s="19">
        <f t="shared" si="65"/>
        <v>181.75747986696945</v>
      </c>
      <c r="R342" s="11">
        <f t="shared" si="67"/>
        <v>0.3526068432869921</v>
      </c>
      <c r="S342" s="19">
        <f t="shared" si="68"/>
        <v>65.584872851380524</v>
      </c>
      <c r="T342" s="19">
        <f t="shared" si="69"/>
        <v>65.584872851380524</v>
      </c>
      <c r="U342" s="19">
        <f t="shared" si="70"/>
        <v>83.804000000000016</v>
      </c>
    </row>
    <row r="343" spans="14:21" x14ac:dyDescent="0.25">
      <c r="N343" s="10">
        <v>168.5</v>
      </c>
      <c r="O343" s="17">
        <f t="shared" si="66"/>
        <v>8.1054687495269402</v>
      </c>
      <c r="P343" s="17">
        <f t="shared" si="71"/>
        <v>168.5</v>
      </c>
      <c r="Q343" s="19">
        <f t="shared" si="65"/>
        <v>182.21576235102566</v>
      </c>
      <c r="R343" s="11">
        <f t="shared" si="67"/>
        <v>0.35143649195074383</v>
      </c>
      <c r="S343" s="19">
        <f t="shared" si="68"/>
        <v>65.367187502838348</v>
      </c>
      <c r="T343" s="19">
        <f t="shared" si="69"/>
        <v>65.367187502838348</v>
      </c>
      <c r="U343" s="19">
        <f t="shared" si="70"/>
        <v>83.804000000000016</v>
      </c>
    </row>
    <row r="344" spans="14:21" x14ac:dyDescent="0.25">
      <c r="N344" s="10">
        <v>169</v>
      </c>
      <c r="O344" s="17">
        <f t="shared" si="66"/>
        <v>8.1418143653062387</v>
      </c>
      <c r="P344" s="17">
        <f t="shared" si="71"/>
        <v>169</v>
      </c>
      <c r="Q344" s="19">
        <f t="shared" si="65"/>
        <v>182.6741545987615</v>
      </c>
      <c r="R344" s="11">
        <f t="shared" si="67"/>
        <v>0.3502640527320568</v>
      </c>
      <c r="S344" s="19">
        <f t="shared" si="68"/>
        <v>65.149113808162568</v>
      </c>
      <c r="T344" s="19">
        <f t="shared" si="69"/>
        <v>65.149113808162568</v>
      </c>
      <c r="U344" s="19">
        <f t="shared" si="70"/>
        <v>83.804000000000016</v>
      </c>
    </row>
    <row r="345" spans="14:21" x14ac:dyDescent="0.25">
      <c r="N345" s="10">
        <v>169.5</v>
      </c>
      <c r="O345" s="17">
        <f t="shared" si="66"/>
        <v>8.1782255767553167</v>
      </c>
      <c r="P345" s="17">
        <f t="shared" si="71"/>
        <v>169.5</v>
      </c>
      <c r="Q345" s="19">
        <f t="shared" si="65"/>
        <v>183.13265708745331</v>
      </c>
      <c r="R345" s="11">
        <f t="shared" si="67"/>
        <v>0.34908949752402202</v>
      </c>
      <c r="S345" s="19">
        <f t="shared" si="68"/>
        <v>64.9306465394681</v>
      </c>
      <c r="T345" s="19">
        <f t="shared" si="69"/>
        <v>64.9306465394681</v>
      </c>
      <c r="U345" s="19">
        <f t="shared" si="70"/>
        <v>83.804000000000016</v>
      </c>
    </row>
    <row r="346" spans="14:21" x14ac:dyDescent="0.25">
      <c r="N346" s="10">
        <v>170</v>
      </c>
      <c r="O346" s="17">
        <f t="shared" si="66"/>
        <v>8.2147032645888416</v>
      </c>
      <c r="P346" s="17">
        <f t="shared" si="71"/>
        <v>170</v>
      </c>
      <c r="Q346" s="19">
        <f t="shared" si="65"/>
        <v>183.59127026434149</v>
      </c>
      <c r="R346" s="11">
        <f t="shared" si="67"/>
        <v>0.34791279791648899</v>
      </c>
      <c r="S346" s="19">
        <f t="shared" si="68"/>
        <v>64.71178041246695</v>
      </c>
      <c r="T346" s="19">
        <f t="shared" si="69"/>
        <v>64.71178041246695</v>
      </c>
      <c r="U346" s="19">
        <f t="shared" si="70"/>
        <v>83.804000000000016</v>
      </c>
    </row>
    <row r="347" spans="14:21" x14ac:dyDescent="0.25">
      <c r="N347" s="10">
        <v>170.5</v>
      </c>
      <c r="O347" s="17">
        <f t="shared" si="66"/>
        <v>8.2512483191701698</v>
      </c>
      <c r="P347" s="17">
        <f t="shared" si="71"/>
        <v>170.5</v>
      </c>
      <c r="Q347" s="19">
        <f t="shared" si="65"/>
        <v>184.04999454653915</v>
      </c>
      <c r="R347" s="11">
        <f t="shared" si="67"/>
        <v>0.34673392518805901</v>
      </c>
      <c r="S347" s="19">
        <f t="shared" si="68"/>
        <v>64.492510084978974</v>
      </c>
      <c r="T347" s="19">
        <f t="shared" si="69"/>
        <v>64.492510084978974</v>
      </c>
      <c r="U347" s="19">
        <f t="shared" si="70"/>
        <v>83.804000000000016</v>
      </c>
    </row>
    <row r="348" spans="14:21" x14ac:dyDescent="0.25">
      <c r="N348" s="10">
        <v>171</v>
      </c>
      <c r="O348" s="17">
        <f t="shared" si="66"/>
        <v>8.2878616407666659</v>
      </c>
      <c r="P348" s="17">
        <f t="shared" si="71"/>
        <v>171</v>
      </c>
      <c r="Q348" s="19">
        <f t="shared" si="65"/>
        <v>184.50883032094595</v>
      </c>
      <c r="R348" s="11">
        <f t="shared" si="67"/>
        <v>0.34555285029784949</v>
      </c>
      <c r="S348" s="19">
        <f t="shared" si="68"/>
        <v>64.272830155400001</v>
      </c>
      <c r="T348" s="19">
        <f t="shared" si="69"/>
        <v>64.272830155400001</v>
      </c>
      <c r="U348" s="19">
        <f t="shared" si="70"/>
        <v>83.804000000000016</v>
      </c>
    </row>
    <row r="349" spans="14:21" x14ac:dyDescent="0.25">
      <c r="N349" s="10">
        <v>171.5</v>
      </c>
      <c r="O349" s="17">
        <f t="shared" si="66"/>
        <v>8.3245441398122892</v>
      </c>
      <c r="P349" s="17">
        <f t="shared" si="71"/>
        <v>171.5</v>
      </c>
      <c r="Q349" s="19">
        <f t="shared" si="65"/>
        <v>184.9677779441646</v>
      </c>
      <c r="R349" s="11">
        <f t="shared" si="67"/>
        <v>0.3443695438770229</v>
      </c>
      <c r="S349" s="19">
        <f t="shared" si="68"/>
        <v>64.052735161126265</v>
      </c>
      <c r="T349" s="19">
        <f t="shared" si="69"/>
        <v>64.052735161126265</v>
      </c>
      <c r="U349" s="19">
        <f t="shared" si="70"/>
        <v>83.804000000000016</v>
      </c>
    </row>
    <row r="350" spans="14:21" x14ac:dyDescent="0.25">
      <c r="N350" s="10">
        <v>172</v>
      </c>
      <c r="O350" s="17">
        <f t="shared" si="66"/>
        <v>8.3612967371778915</v>
      </c>
      <c r="P350" s="17">
        <f t="shared" si="71"/>
        <v>172</v>
      </c>
      <c r="Q350" s="19">
        <f t="shared" si="65"/>
        <v>185.42683774242406</v>
      </c>
      <c r="R350" s="11">
        <f t="shared" si="67"/>
        <v>0.34318397622006802</v>
      </c>
      <c r="S350" s="19">
        <f t="shared" si="68"/>
        <v>63.832219576932651</v>
      </c>
      <c r="T350" s="19">
        <f t="shared" si="69"/>
        <v>63.832219576932651</v>
      </c>
      <c r="U350" s="19">
        <f t="shared" si="70"/>
        <v>83.804000000000016</v>
      </c>
    </row>
    <row r="351" spans="14:21" x14ac:dyDescent="0.25">
      <c r="N351" s="10">
        <v>172.5</v>
      </c>
      <c r="O351" s="17">
        <f t="shared" si="66"/>
        <v>8.3981203644494684</v>
      </c>
      <c r="P351" s="17">
        <f t="shared" si="71"/>
        <v>172.5</v>
      </c>
      <c r="Q351" s="19">
        <f t="shared" ref="Q351:Q414" si="72" xml:space="preserve"> -0.0232*O351^3 + 0.296*O351^2 + 12.396*O351 + 74.648</f>
        <v>185.88601001150766</v>
      </c>
      <c r="R351" s="11">
        <f t="shared" si="67"/>
        <v>0.34199611727582357</v>
      </c>
      <c r="S351" s="19">
        <f t="shared" si="68"/>
        <v>63.611277813303182</v>
      </c>
      <c r="T351" s="19">
        <f t="shared" si="69"/>
        <v>63.611277813303182</v>
      </c>
      <c r="U351" s="19">
        <f t="shared" si="70"/>
        <v>83.804000000000016</v>
      </c>
    </row>
    <row r="352" spans="14:21" x14ac:dyDescent="0.25">
      <c r="N352" s="10">
        <v>173</v>
      </c>
      <c r="O352" s="17">
        <f t="shared" si="66"/>
        <v>8.4350159642147009</v>
      </c>
      <c r="P352" s="17">
        <f t="shared" si="71"/>
        <v>173</v>
      </c>
      <c r="Q352" s="19">
        <f t="shared" si="72"/>
        <v>186.345295016688</v>
      </c>
      <c r="R352" s="11">
        <f t="shared" si="67"/>
        <v>0.34080593663823544</v>
      </c>
      <c r="S352" s="19">
        <f t="shared" si="68"/>
        <v>63.389904214711791</v>
      </c>
      <c r="T352" s="19">
        <f t="shared" si="69"/>
        <v>63.389904214711791</v>
      </c>
      <c r="U352" s="19">
        <f t="shared" si="70"/>
        <v>83.804000000000016</v>
      </c>
    </row>
    <row r="353" spans="14:21" x14ac:dyDescent="0.25">
      <c r="N353" s="10">
        <v>173.5</v>
      </c>
      <c r="O353" s="17">
        <f t="shared" si="66"/>
        <v>8.4719844903582207</v>
      </c>
      <c r="P353" s="17">
        <f t="shared" si="71"/>
        <v>173.5</v>
      </c>
      <c r="Q353" s="19">
        <f t="shared" si="72"/>
        <v>186.8046929926694</v>
      </c>
      <c r="R353" s="11">
        <f t="shared" si="67"/>
        <v>0.33961340353683156</v>
      </c>
      <c r="S353" s="19">
        <f t="shared" si="68"/>
        <v>63.168093057850669</v>
      </c>
      <c r="T353" s="19">
        <f t="shared" si="69"/>
        <v>63.168093057850669</v>
      </c>
      <c r="U353" s="19">
        <f t="shared" si="70"/>
        <v>83.804000000000016</v>
      </c>
    </row>
    <row r="354" spans="14:21" x14ac:dyDescent="0.25">
      <c r="N354" s="10">
        <v>174</v>
      </c>
      <c r="O354" s="17">
        <f t="shared" si="66"/>
        <v>8.5090269083658328</v>
      </c>
      <c r="P354" s="17">
        <f t="shared" si="71"/>
        <v>174</v>
      </c>
      <c r="Q354" s="19">
        <f t="shared" si="72"/>
        <v>187.26420414353828</v>
      </c>
      <c r="R354" s="11">
        <f t="shared" si="67"/>
        <v>0.33841848682690862</v>
      </c>
      <c r="S354" s="19">
        <f t="shared" si="68"/>
        <v>62.945838549805003</v>
      </c>
      <c r="T354" s="19">
        <f t="shared" si="69"/>
        <v>62.945838549805003</v>
      </c>
      <c r="U354" s="19">
        <f t="shared" si="70"/>
        <v>83.804000000000016</v>
      </c>
    </row>
    <row r="355" spans="14:21" x14ac:dyDescent="0.25">
      <c r="N355" s="10">
        <v>174.5</v>
      </c>
      <c r="O355" s="17">
        <f t="shared" si="66"/>
        <v>8.5461441956382522</v>
      </c>
      <c r="P355" s="17">
        <f t="shared" si="71"/>
        <v>174.5</v>
      </c>
      <c r="Q355" s="19">
        <f t="shared" si="72"/>
        <v>187.72382864272345</v>
      </c>
      <c r="R355" s="11">
        <f t="shared" si="67"/>
        <v>0.33722115497941119</v>
      </c>
      <c r="S355" s="19">
        <f t="shared" si="68"/>
        <v>62.72313482617048</v>
      </c>
      <c r="T355" s="19">
        <f t="shared" si="69"/>
        <v>62.72313482617048</v>
      </c>
      <c r="U355" s="19">
        <f t="shared" si="70"/>
        <v>83.804000000000016</v>
      </c>
    </row>
    <row r="356" spans="14:21" x14ac:dyDescent="0.25">
      <c r="N356" s="10">
        <v>175</v>
      </c>
      <c r="O356" s="17">
        <f t="shared" si="66"/>
        <v>8.5833373418146071</v>
      </c>
      <c r="P356" s="17">
        <f t="shared" si="71"/>
        <v>175</v>
      </c>
      <c r="Q356" s="19">
        <f t="shared" si="72"/>
        <v>188.18356663296555</v>
      </c>
      <c r="R356" s="11">
        <f t="shared" si="67"/>
        <v>0.33602137607049654</v>
      </c>
      <c r="S356" s="19">
        <f t="shared" si="68"/>
        <v>62.499975949112354</v>
      </c>
      <c r="T356" s="19">
        <f t="shared" si="69"/>
        <v>62.499975949112354</v>
      </c>
      <c r="U356" s="19">
        <f t="shared" si="70"/>
        <v>83.804000000000016</v>
      </c>
    </row>
    <row r="357" spans="14:21" x14ac:dyDescent="0.25">
      <c r="N357" s="10">
        <v>175.5</v>
      </c>
      <c r="O357" s="17">
        <f t="shared" si="66"/>
        <v>8.6206073491062831</v>
      </c>
      <c r="P357" s="17">
        <f t="shared" si="71"/>
        <v>175.5</v>
      </c>
      <c r="Q357" s="19">
        <f t="shared" si="72"/>
        <v>188.64341822629902</v>
      </c>
      <c r="R357" s="11">
        <f t="shared" si="67"/>
        <v>0.33481911777076506</v>
      </c>
      <c r="S357" s="19">
        <f t="shared" si="68"/>
        <v>62.276355905362301</v>
      </c>
      <c r="T357" s="19">
        <f t="shared" si="69"/>
        <v>62.276355905362301</v>
      </c>
      <c r="U357" s="19">
        <f t="shared" si="70"/>
        <v>83.804000000000016</v>
      </c>
    </row>
    <row r="358" spans="14:21" x14ac:dyDescent="0.25">
      <c r="N358" s="10">
        <v>176</v>
      </c>
      <c r="O358" s="17">
        <f t="shared" si="66"/>
        <v>8.6579552326414433</v>
      </c>
      <c r="P358" s="17">
        <f t="shared" si="71"/>
        <v>176</v>
      </c>
      <c r="Q358" s="19">
        <f t="shared" si="72"/>
        <v>189.10338350404555</v>
      </c>
      <c r="R358" s="11">
        <f t="shared" si="67"/>
        <v>0.33361434733414697</v>
      </c>
      <c r="S358" s="19">
        <f t="shared" si="68"/>
        <v>62.052268604151337</v>
      </c>
      <c r="T358" s="19">
        <f t="shared" si="69"/>
        <v>62.052268604151337</v>
      </c>
      <c r="U358" s="19">
        <f t="shared" si="70"/>
        <v>83.804000000000016</v>
      </c>
    </row>
    <row r="359" spans="14:21" x14ac:dyDescent="0.25">
      <c r="N359" s="10">
        <v>176.5</v>
      </c>
      <c r="O359" s="17">
        <f t="shared" si="66"/>
        <v>8.6953820208207944</v>
      </c>
      <c r="P359" s="17">
        <f t="shared" si="71"/>
        <v>176.5</v>
      </c>
      <c r="Q359" s="19">
        <f t="shared" si="72"/>
        <v>189.56346251682186</v>
      </c>
      <c r="R359" s="11">
        <f t="shared" si="67"/>
        <v>0.33240703158642598</v>
      </c>
      <c r="S359" s="19">
        <f t="shared" si="68"/>
        <v>61.827707875075234</v>
      </c>
      <c r="T359" s="19">
        <f t="shared" si="69"/>
        <v>61.827707875075234</v>
      </c>
      <c r="U359" s="19">
        <f t="shared" si="70"/>
        <v>83.804000000000016</v>
      </c>
    </row>
    <row r="360" spans="14:21" x14ac:dyDescent="0.25">
      <c r="N360" s="10">
        <v>177</v>
      </c>
      <c r="O360" s="17">
        <f t="shared" si="66"/>
        <v>8.7328887556850567</v>
      </c>
      <c r="P360" s="17">
        <f t="shared" si="71"/>
        <v>177</v>
      </c>
      <c r="Q360" s="19">
        <f t="shared" si="72"/>
        <v>190.02365528456221</v>
      </c>
      <c r="R360" s="11">
        <f t="shared" si="67"/>
        <v>0.33119713691338526</v>
      </c>
      <c r="S360" s="19">
        <f t="shared" si="68"/>
        <v>61.60266746588966</v>
      </c>
      <c r="T360" s="19">
        <f t="shared" si="69"/>
        <v>61.60266746588966</v>
      </c>
      <c r="U360" s="19">
        <f t="shared" si="70"/>
        <v>83.804000000000016</v>
      </c>
    </row>
    <row r="361" spans="14:21" x14ac:dyDescent="0.25">
      <c r="N361" s="10">
        <v>177.5</v>
      </c>
      <c r="O361" s="17">
        <f t="shared" si="66"/>
        <v>8.7704764932946944</v>
      </c>
      <c r="P361" s="17">
        <f t="shared" si="71"/>
        <v>177.5</v>
      </c>
      <c r="Q361" s="19">
        <f t="shared" si="72"/>
        <v>190.48396179655791</v>
      </c>
      <c r="R361" s="11">
        <f t="shared" si="67"/>
        <v>0.32998462924855826</v>
      </c>
      <c r="S361" s="19">
        <f t="shared" si="68"/>
        <v>61.377141040231834</v>
      </c>
      <c r="T361" s="19">
        <f t="shared" si="69"/>
        <v>61.377141040231834</v>
      </c>
      <c r="U361" s="19">
        <f t="shared" si="70"/>
        <v>83.804000000000016</v>
      </c>
    </row>
    <row r="362" spans="14:21" x14ac:dyDescent="0.25">
      <c r="N362" s="10">
        <v>178</v>
      </c>
      <c r="O362" s="17">
        <f t="shared" si="66"/>
        <v>8.8081463041224666</v>
      </c>
      <c r="P362" s="17">
        <f t="shared" si="71"/>
        <v>178</v>
      </c>
      <c r="Q362" s="19">
        <f t="shared" si="72"/>
        <v>190.94438201151436</v>
      </c>
      <c r="R362" s="11">
        <f t="shared" si="67"/>
        <v>0.32876947406056556</v>
      </c>
      <c r="S362" s="19">
        <f t="shared" si="68"/>
        <v>61.151122175265193</v>
      </c>
      <c r="T362" s="19">
        <f t="shared" si="69"/>
        <v>61.151122175265193</v>
      </c>
      <c r="U362" s="19">
        <f t="shared" si="70"/>
        <v>83.804000000000016</v>
      </c>
    </row>
    <row r="363" spans="14:21" x14ac:dyDescent="0.25">
      <c r="N363" s="10">
        <v>178.5</v>
      </c>
      <c r="O363" s="17">
        <f t="shared" si="66"/>
        <v>8.84589927345937</v>
      </c>
      <c r="P363" s="17">
        <f t="shared" si="71"/>
        <v>178.5</v>
      </c>
      <c r="Q363" s="19">
        <f t="shared" si="72"/>
        <v>191.40491585762823</v>
      </c>
      <c r="R363" s="11">
        <f t="shared" si="67"/>
        <v>0.32755163634002032</v>
      </c>
      <c r="S363" s="19">
        <f t="shared" si="68"/>
        <v>60.92460435924378</v>
      </c>
      <c r="T363" s="19">
        <f t="shared" si="69"/>
        <v>60.92460435924378</v>
      </c>
      <c r="U363" s="19">
        <f t="shared" si="70"/>
        <v>83.804000000000016</v>
      </c>
    </row>
    <row r="364" spans="14:21" x14ac:dyDescent="0.25">
      <c r="N364" s="10">
        <v>179</v>
      </c>
      <c r="O364" s="17">
        <f t="shared" si="66"/>
        <v>8.8837365018346581</v>
      </c>
      <c r="P364" s="17">
        <f t="shared" si="71"/>
        <v>179</v>
      </c>
      <c r="Q364" s="19">
        <f t="shared" si="72"/>
        <v>191.86556323268627</v>
      </c>
      <c r="R364" s="11">
        <f t="shared" si="67"/>
        <v>0.32633108058597876</v>
      </c>
      <c r="S364" s="19">
        <f t="shared" si="68"/>
        <v>60.697580988992051</v>
      </c>
      <c r="T364" s="19">
        <f t="shared" si="69"/>
        <v>60.697580988992051</v>
      </c>
      <c r="U364" s="19">
        <f t="shared" si="70"/>
        <v>83.804000000000016</v>
      </c>
    </row>
    <row r="365" spans="14:21" x14ac:dyDescent="0.25">
      <c r="N365" s="10">
        <v>179.5</v>
      </c>
      <c r="O365" s="17">
        <f t="shared" si="66"/>
        <v>8.921659105450539</v>
      </c>
      <c r="P365" s="17">
        <f t="shared" si="71"/>
        <v>179.5</v>
      </c>
      <c r="Q365" s="19">
        <f t="shared" si="72"/>
        <v>192.32632400418746</v>
      </c>
      <c r="R365" s="11">
        <f t="shared" si="67"/>
        <v>0.3251077707919181</v>
      </c>
      <c r="S365" s="19">
        <f t="shared" si="68"/>
        <v>60.47004536729677</v>
      </c>
      <c r="T365" s="19">
        <f t="shared" si="69"/>
        <v>60.47004536729677</v>
      </c>
      <c r="U365" s="19">
        <f t="shared" si="70"/>
        <v>83.804000000000016</v>
      </c>
    </row>
    <row r="366" spans="14:21" x14ac:dyDescent="0.25">
      <c r="N366" s="10">
        <v>180</v>
      </c>
      <c r="O366" s="17">
        <f t="shared" si="66"/>
        <v>8.9596682166323092</v>
      </c>
      <c r="P366" s="17">
        <f t="shared" si="71"/>
        <v>180</v>
      </c>
      <c r="Q366" s="19">
        <f t="shared" si="72"/>
        <v>192.78719800949096</v>
      </c>
      <c r="R366" s="11">
        <f t="shared" si="67"/>
        <v>0.32388167043121585</v>
      </c>
      <c r="S366" s="19">
        <f t="shared" si="68"/>
        <v>60.241990700206145</v>
      </c>
      <c r="T366" s="19">
        <f t="shared" si="69"/>
        <v>60.241990700206145</v>
      </c>
      <c r="U366" s="19">
        <f t="shared" si="70"/>
        <v>83.804000000000016</v>
      </c>
    </row>
    <row r="367" spans="14:21" x14ac:dyDescent="0.25">
      <c r="N367" s="10">
        <v>180.5</v>
      </c>
      <c r="O367" s="17">
        <f t="shared" si="66"/>
        <v>8.9977649842946175</v>
      </c>
      <c r="P367" s="17">
        <f t="shared" si="71"/>
        <v>180.5</v>
      </c>
      <c r="Q367" s="19">
        <f t="shared" si="72"/>
        <v>193.24818505599194</v>
      </c>
      <c r="R367" s="11">
        <f t="shared" si="67"/>
        <v>0.32265274244210912</v>
      </c>
      <c r="S367" s="19">
        <f t="shared" si="68"/>
        <v>60.013410094232299</v>
      </c>
      <c r="T367" s="19">
        <f t="shared" si="69"/>
        <v>60.013410094232299</v>
      </c>
      <c r="U367" s="19">
        <f t="shared" si="70"/>
        <v>83.804000000000016</v>
      </c>
    </row>
    <row r="368" spans="14:21" x14ac:dyDescent="0.25">
      <c r="N368" s="10">
        <v>181</v>
      </c>
      <c r="O368" s="17">
        <f t="shared" si="66"/>
        <v>9.0359505744247137</v>
      </c>
      <c r="P368" s="17">
        <f t="shared" si="71"/>
        <v>181</v>
      </c>
      <c r="Q368" s="19">
        <f t="shared" si="72"/>
        <v>193.70928492132782</v>
      </c>
      <c r="R368" s="11">
        <f t="shared" si="67"/>
        <v>0.32142094921210601</v>
      </c>
      <c r="S368" s="19">
        <f t="shared" si="68"/>
        <v>59.784296553451718</v>
      </c>
      <c r="T368" s="19">
        <f t="shared" si="69"/>
        <v>59.784296553451718</v>
      </c>
      <c r="U368" s="19">
        <f t="shared" si="70"/>
        <v>83.804000000000016</v>
      </c>
    </row>
    <row r="369" spans="14:21" x14ac:dyDescent="0.25">
      <c r="N369" s="10">
        <v>181.5</v>
      </c>
      <c r="O369" s="17">
        <f t="shared" si="66"/>
        <v>9.0742261705834455</v>
      </c>
      <c r="P369" s="17">
        <f t="shared" si="71"/>
        <v>181.5</v>
      </c>
      <c r="Q369" s="19">
        <f t="shared" si="72"/>
        <v>194.17049735361735</v>
      </c>
      <c r="R369" s="11">
        <f t="shared" si="67"/>
        <v>0.32018625256182431</v>
      </c>
      <c r="S369" s="19">
        <f t="shared" si="68"/>
        <v>59.554642976499323</v>
      </c>
      <c r="T369" s="19">
        <f t="shared" si="69"/>
        <v>59.554642976499323</v>
      </c>
      <c r="U369" s="19">
        <f t="shared" si="70"/>
        <v>83.804000000000016</v>
      </c>
    </row>
    <row r="370" spans="14:21" x14ac:dyDescent="0.25">
      <c r="N370" s="10">
        <v>182</v>
      </c>
      <c r="O370" s="17">
        <f t="shared" si="66"/>
        <v>9.1125929744249436</v>
      </c>
      <c r="P370" s="17">
        <f t="shared" si="71"/>
        <v>182</v>
      </c>
      <c r="Q370" s="19">
        <f t="shared" si="72"/>
        <v>194.63182207173577</v>
      </c>
      <c r="R370" s="11">
        <f t="shared" si="67"/>
        <v>0.31894861372822764</v>
      </c>
      <c r="S370" s="19">
        <f t="shared" si="68"/>
        <v>59.324442153450342</v>
      </c>
      <c r="T370" s="19">
        <f t="shared" si="69"/>
        <v>59.324442153450342</v>
      </c>
      <c r="U370" s="19">
        <f t="shared" si="70"/>
        <v>83.804000000000016</v>
      </c>
    </row>
    <row r="371" spans="14:21" x14ac:dyDescent="0.25">
      <c r="N371" s="10">
        <v>182.5</v>
      </c>
      <c r="O371" s="17">
        <f t="shared" si="66"/>
        <v>9.1510522062359225</v>
      </c>
      <c r="P371" s="17">
        <f t="shared" si="71"/>
        <v>182.5</v>
      </c>
      <c r="Q371" s="19">
        <f t="shared" si="72"/>
        <v>195.09325876562886</v>
      </c>
      <c r="R371" s="11">
        <f t="shared" si="67"/>
        <v>0.31770799334722832</v>
      </c>
      <c r="S371" s="19">
        <f t="shared" si="68"/>
        <v>59.093686762584468</v>
      </c>
      <c r="T371" s="19">
        <f t="shared" si="69"/>
        <v>59.093686762584468</v>
      </c>
      <c r="U371" s="19">
        <f t="shared" si="70"/>
        <v>83.804000000000016</v>
      </c>
    </row>
    <row r="372" spans="14:21" x14ac:dyDescent="0.25">
      <c r="N372" s="10">
        <v>183</v>
      </c>
      <c r="O372" s="17">
        <f t="shared" si="66"/>
        <v>9.189605105495593</v>
      </c>
      <c r="P372" s="17">
        <f t="shared" si="71"/>
        <v>183</v>
      </c>
      <c r="Q372" s="19">
        <f t="shared" si="72"/>
        <v>195.55480709666901</v>
      </c>
      <c r="R372" s="11">
        <f t="shared" si="67"/>
        <v>0.31646435143562601</v>
      </c>
      <c r="S372" s="19">
        <f t="shared" si="68"/>
        <v>58.862369367026439</v>
      </c>
      <c r="T372" s="19">
        <f t="shared" si="69"/>
        <v>58.862369367026439</v>
      </c>
      <c r="U372" s="19">
        <f t="shared" si="70"/>
        <v>83.804000000000016</v>
      </c>
    </row>
    <row r="373" spans="14:21" x14ac:dyDescent="0.25">
      <c r="N373" s="10">
        <v>183.5</v>
      </c>
      <c r="O373" s="17">
        <f t="shared" si="66"/>
        <v>9.2282529314572379</v>
      </c>
      <c r="P373" s="17">
        <f t="shared" si="71"/>
        <v>183.5</v>
      </c>
      <c r="Q373" s="19">
        <f t="shared" si="72"/>
        <v>196.01646669805743</v>
      </c>
      <c r="R373" s="11">
        <f t="shared" si="67"/>
        <v>0.31521764737234714</v>
      </c>
      <c r="S373" s="19">
        <f t="shared" si="68"/>
        <v>58.630482411256565</v>
      </c>
      <c r="T373" s="19">
        <f t="shared" si="69"/>
        <v>58.630482411256565</v>
      </c>
      <c r="U373" s="19">
        <f t="shared" si="70"/>
        <v>83.804000000000016</v>
      </c>
    </row>
    <row r="374" spans="14:21" x14ac:dyDescent="0.25">
      <c r="N374" s="10">
        <v>184</v>
      </c>
      <c r="O374" s="17">
        <f t="shared" si="66"/>
        <v>9.2669969637526357</v>
      </c>
      <c r="P374" s="17">
        <f t="shared" si="71"/>
        <v>184</v>
      </c>
      <c r="Q374" s="19">
        <f t="shared" si="72"/>
        <v>196.47823717527609</v>
      </c>
      <c r="R374" s="11">
        <f t="shared" si="67"/>
        <v>0.31396783987894722</v>
      </c>
      <c r="S374" s="19">
        <f t="shared" si="68"/>
        <v>58.398018217484186</v>
      </c>
      <c r="T374" s="19">
        <f t="shared" si="69"/>
        <v>58.398018217484186</v>
      </c>
      <c r="U374" s="19">
        <f t="shared" si="70"/>
        <v>83.804000000000016</v>
      </c>
    </row>
    <row r="375" spans="14:21" x14ac:dyDescent="0.25">
      <c r="N375" s="10">
        <v>184.5</v>
      </c>
      <c r="O375" s="17">
        <f t="shared" si="66"/>
        <v>9.305838503020432</v>
      </c>
      <c r="P375" s="17">
        <f t="shared" si="71"/>
        <v>184.5</v>
      </c>
      <c r="Q375" s="19">
        <f t="shared" si="72"/>
        <v>196.94011810659319</v>
      </c>
      <c r="R375" s="11">
        <f t="shared" si="67"/>
        <v>0.31271488699934091</v>
      </c>
      <c r="S375" s="19">
        <f t="shared" si="68"/>
        <v>58.164968981877408</v>
      </c>
      <c r="T375" s="19">
        <f t="shared" si="69"/>
        <v>58.164968981877408</v>
      </c>
      <c r="U375" s="19">
        <f t="shared" si="70"/>
        <v>83.804000000000016</v>
      </c>
    </row>
    <row r="376" spans="14:21" x14ac:dyDescent="0.25">
      <c r="N376" s="10">
        <v>185</v>
      </c>
      <c r="O376" s="17">
        <f t="shared" si="66"/>
        <v>9.3447788715598872</v>
      </c>
      <c r="P376" s="17">
        <f t="shared" si="71"/>
        <v>185</v>
      </c>
      <c r="Q376" s="19">
        <f t="shared" si="72"/>
        <v>197.40210904362795</v>
      </c>
      <c r="R376" s="11">
        <f t="shared" si="67"/>
        <v>0.31145874607871332</v>
      </c>
      <c r="S376" s="19">
        <f t="shared" si="68"/>
        <v>57.93132677064068</v>
      </c>
      <c r="T376" s="19">
        <f t="shared" si="69"/>
        <v>57.93132677064068</v>
      </c>
      <c r="U376" s="19">
        <f t="shared" si="70"/>
        <v>83.804000000000016</v>
      </c>
    </row>
    <row r="377" spans="14:21" x14ac:dyDescent="0.25">
      <c r="N377" s="10">
        <v>185.5</v>
      </c>
      <c r="O377" s="17">
        <f t="shared" si="66"/>
        <v>9.3838194140112083</v>
      </c>
      <c r="P377" s="17">
        <f t="shared" si="71"/>
        <v>185.5</v>
      </c>
      <c r="Q377" s="19">
        <f t="shared" si="72"/>
        <v>197.8642095119778</v>
      </c>
      <c r="R377" s="11">
        <f t="shared" si="67"/>
        <v>0.31019937374157391</v>
      </c>
      <c r="S377" s="19">
        <f t="shared" si="68"/>
        <v>57.697083515932746</v>
      </c>
      <c r="T377" s="19">
        <f t="shared" si="69"/>
        <v>57.697083515932746</v>
      </c>
      <c r="U377" s="19">
        <f t="shared" si="70"/>
        <v>83.804000000000016</v>
      </c>
    </row>
    <row r="378" spans="14:21" x14ac:dyDescent="0.25">
      <c r="N378" s="10">
        <v>186</v>
      </c>
      <c r="O378" s="17">
        <f t="shared" si="66"/>
        <v>9.4229614980640513</v>
      </c>
      <c r="P378" s="17">
        <f t="shared" si="71"/>
        <v>186</v>
      </c>
      <c r="Q378" s="19">
        <f t="shared" si="72"/>
        <v>198.32641901191533</v>
      </c>
      <c r="R378" s="11">
        <f t="shared" si="67"/>
        <v>0.30893672586890158</v>
      </c>
      <c r="S378" s="19">
        <f t="shared" si="68"/>
        <v>57.462231011615692</v>
      </c>
      <c r="T378" s="19">
        <f t="shared" si="69"/>
        <v>57.462231011615692</v>
      </c>
      <c r="U378" s="19">
        <f t="shared" si="70"/>
        <v>83.804000000000016</v>
      </c>
    </row>
    <row r="379" spans="14:21" x14ac:dyDescent="0.25">
      <c r="N379" s="10">
        <v>186.5</v>
      </c>
      <c r="O379" s="17">
        <f t="shared" si="66"/>
        <v>9.4622065151956907</v>
      </c>
      <c r="P379" s="17">
        <f t="shared" si="71"/>
        <v>186.5</v>
      </c>
      <c r="Q379" s="19">
        <f t="shared" si="72"/>
        <v>198.78873701915916</v>
      </c>
      <c r="R379" s="11">
        <f t="shared" si="67"/>
        <v>0.30767075757433254</v>
      </c>
      <c r="S379" s="19">
        <f t="shared" si="68"/>
        <v>57.226760908825852</v>
      </c>
      <c r="T379" s="19">
        <f t="shared" si="69"/>
        <v>57.226760908825852</v>
      </c>
      <c r="U379" s="19">
        <f t="shared" si="70"/>
        <v>83.804000000000016</v>
      </c>
    </row>
    <row r="380" spans="14:21" x14ac:dyDescent="0.25">
      <c r="N380" s="10">
        <v>187</v>
      </c>
      <c r="O380" s="17">
        <f t="shared" si="66"/>
        <v>9.5015558814405221</v>
      </c>
      <c r="P380" s="17">
        <f t="shared" si="71"/>
        <v>187</v>
      </c>
      <c r="Q380" s="19">
        <f t="shared" si="72"/>
        <v>199.25116298572621</v>
      </c>
      <c r="R380" s="11">
        <f t="shared" si="67"/>
        <v>0.30640142317933799</v>
      </c>
      <c r="S380" s="19">
        <f t="shared" si="68"/>
        <v>56.990664711356864</v>
      </c>
      <c r="T380" s="19">
        <f t="shared" si="69"/>
        <v>56.990664711356864</v>
      </c>
      <c r="U380" s="19">
        <f t="shared" si="70"/>
        <v>83.804000000000016</v>
      </c>
    </row>
    <row r="381" spans="14:21" x14ac:dyDescent="0.25">
      <c r="N381" s="10">
        <v>187.5</v>
      </c>
      <c r="O381" s="17">
        <f t="shared" si="66"/>
        <v>9.5410110381926998</v>
      </c>
      <c r="P381" s="17">
        <f t="shared" si="71"/>
        <v>187.5</v>
      </c>
      <c r="Q381" s="19">
        <f t="shared" si="72"/>
        <v>199.71369634087119</v>
      </c>
      <c r="R381" s="11">
        <f t="shared" si="67"/>
        <v>0.30512867618733225</v>
      </c>
      <c r="S381" s="19">
        <f t="shared" si="68"/>
        <v>56.753933770843801</v>
      </c>
      <c r="T381" s="19">
        <f t="shared" si="69"/>
        <v>56.753933770843801</v>
      </c>
      <c r="U381" s="19">
        <f t="shared" si="70"/>
        <v>83.804000000000016</v>
      </c>
    </row>
    <row r="382" spans="14:21" x14ac:dyDescent="0.25">
      <c r="N382" s="10">
        <v>188</v>
      </c>
      <c r="O382" s="17">
        <f t="shared" si="66"/>
        <v>9.5805734530438116</v>
      </c>
      <c r="P382" s="17">
        <f t="shared" si="71"/>
        <v>188</v>
      </c>
      <c r="Q382" s="19">
        <f t="shared" si="72"/>
        <v>200.17633649212206</v>
      </c>
      <c r="R382" s="11">
        <f t="shared" si="67"/>
        <v>0.30385246925665121</v>
      </c>
      <c r="S382" s="19">
        <f t="shared" si="68"/>
        <v>56.516559281737123</v>
      </c>
      <c r="T382" s="19">
        <f t="shared" si="69"/>
        <v>56.516559281737123</v>
      </c>
      <c r="U382" s="19">
        <f t="shared" si="70"/>
        <v>83.804000000000016</v>
      </c>
    </row>
    <row r="383" spans="14:21" x14ac:dyDescent="0.25">
      <c r="N383" s="10">
        <v>188.5</v>
      </c>
      <c r="O383" s="17">
        <f t="shared" si="66"/>
        <v>9.6202446206575924</v>
      </c>
      <c r="P383" s="17">
        <f t="shared" si="71"/>
        <v>188.5</v>
      </c>
      <c r="Q383" s="19">
        <f t="shared" si="72"/>
        <v>200.63908282641779</v>
      </c>
      <c r="R383" s="11">
        <f t="shared" si="67"/>
        <v>0.3025727541723357</v>
      </c>
      <c r="S383" s="19">
        <f t="shared" si="68"/>
        <v>56.278532276054442</v>
      </c>
      <c r="T383" s="19">
        <f t="shared" si="69"/>
        <v>56.278532276054442</v>
      </c>
      <c r="U383" s="19">
        <f t="shared" si="70"/>
        <v>83.804000000000016</v>
      </c>
    </row>
    <row r="384" spans="14:21" x14ac:dyDescent="0.25">
      <c r="N384" s="10">
        <v>189</v>
      </c>
      <c r="O384" s="17">
        <f t="shared" si="66"/>
        <v>9.6600260636839526</v>
      </c>
      <c r="P384" s="17">
        <f t="shared" si="71"/>
        <v>189</v>
      </c>
      <c r="Q384" s="19">
        <f t="shared" si="72"/>
        <v>201.10193471135921</v>
      </c>
      <c r="R384" s="11">
        <f t="shared" si="67"/>
        <v>0.30128948181664666</v>
      </c>
      <c r="S384" s="19">
        <f t="shared" si="68"/>
        <v>56.039843617896281</v>
      </c>
      <c r="T384" s="19">
        <f t="shared" si="69"/>
        <v>56.039843617896281</v>
      </c>
      <c r="U384" s="19">
        <f t="shared" si="70"/>
        <v>83.804000000000016</v>
      </c>
    </row>
    <row r="385" spans="14:21" x14ac:dyDescent="0.25">
      <c r="N385" s="10">
        <v>189.5</v>
      </c>
      <c r="O385" s="17">
        <f t="shared" si="66"/>
        <v>9.6999193337145808</v>
      </c>
      <c r="P385" s="17">
        <f t="shared" si="71"/>
        <v>189.5</v>
      </c>
      <c r="Q385" s="19">
        <f t="shared" si="72"/>
        <v>201.56489149658097</v>
      </c>
      <c r="R385" s="11">
        <f t="shared" si="67"/>
        <v>0.30000260213823932</v>
      </c>
      <c r="S385" s="19">
        <f t="shared" si="68"/>
        <v>55.800483997712512</v>
      </c>
      <c r="T385" s="19">
        <f t="shared" si="69"/>
        <v>55.800483997712512</v>
      </c>
      <c r="U385" s="19">
        <f t="shared" si="70"/>
        <v>83.804000000000016</v>
      </c>
    </row>
    <row r="386" spans="14:21" x14ac:dyDescent="0.25">
      <c r="N386" s="10">
        <v>190</v>
      </c>
      <c r="O386" s="17">
        <f t="shared" si="66"/>
        <v>9.7399260122827069</v>
      </c>
      <c r="P386" s="17">
        <f t="shared" si="71"/>
        <v>190</v>
      </c>
      <c r="Q386" s="19">
        <f t="shared" si="72"/>
        <v>202.02795251525589</v>
      </c>
      <c r="R386" s="11">
        <f t="shared" si="67"/>
        <v>0.29871206411991269</v>
      </c>
      <c r="S386" s="19">
        <f t="shared" si="68"/>
        <v>55.560443926303762</v>
      </c>
      <c r="T386" s="19">
        <f t="shared" si="69"/>
        <v>55.560443926303762</v>
      </c>
      <c r="U386" s="19">
        <f t="shared" si="70"/>
        <v>83.804000000000016</v>
      </c>
    </row>
    <row r="387" spans="14:21" x14ac:dyDescent="0.25">
      <c r="N387" s="10">
        <v>190.5</v>
      </c>
      <c r="O387" s="17">
        <f t="shared" si="66"/>
        <v>9.7800477119097327</v>
      </c>
      <c r="P387" s="17">
        <f t="shared" si="71"/>
        <v>190.5</v>
      </c>
      <c r="Q387" s="19">
        <f t="shared" si="72"/>
        <v>202.4911170857431</v>
      </c>
      <c r="R387" s="11">
        <f t="shared" si="67"/>
        <v>0.29741781574484732</v>
      </c>
      <c r="S387" s="19">
        <f t="shared" si="68"/>
        <v>55.319713728541601</v>
      </c>
      <c r="T387" s="19">
        <f t="shared" si="69"/>
        <v>55.319713728541601</v>
      </c>
      <c r="U387" s="19">
        <f t="shared" si="70"/>
        <v>83.804000000000016</v>
      </c>
    </row>
    <row r="388" spans="14:21" x14ac:dyDescent="0.25">
      <c r="N388" s="10">
        <v>191</v>
      </c>
      <c r="O388" s="17">
        <f t="shared" si="66"/>
        <v>9.8202860772016436</v>
      </c>
      <c r="P388" s="17">
        <f t="shared" si="71"/>
        <v>191</v>
      </c>
      <c r="Q388" s="19">
        <f t="shared" si="72"/>
        <v>202.95438451339206</v>
      </c>
      <c r="R388" s="11">
        <f t="shared" si="67"/>
        <v>0.29611980396123727</v>
      </c>
      <c r="S388" s="19">
        <f t="shared" si="68"/>
        <v>55.078283536790131</v>
      </c>
      <c r="T388" s="19">
        <f t="shared" si="69"/>
        <v>55.078283536790131</v>
      </c>
      <c r="U388" s="19">
        <f t="shared" si="70"/>
        <v>83.804000000000016</v>
      </c>
    </row>
    <row r="389" spans="14:21" x14ac:dyDescent="0.25">
      <c r="N389" s="10">
        <v>191.5</v>
      </c>
      <c r="O389" s="17">
        <f t="shared" si="66"/>
        <v>9.860642785998369</v>
      </c>
      <c r="P389" s="17">
        <f t="shared" si="71"/>
        <v>191.5</v>
      </c>
      <c r="Q389" s="19">
        <f t="shared" si="72"/>
        <v>203.41775409251662</v>
      </c>
      <c r="R389" s="11">
        <f t="shared" si="67"/>
        <v>0.29481797464521392</v>
      </c>
      <c r="S389" s="19">
        <f t="shared" si="68"/>
        <v>54.836143284009786</v>
      </c>
      <c r="T389" s="19">
        <f t="shared" si="69"/>
        <v>54.836143284009786</v>
      </c>
      <c r="U389" s="19">
        <f t="shared" si="70"/>
        <v>83.804000000000016</v>
      </c>
    </row>
    <row r="390" spans="14:21" x14ac:dyDescent="0.25">
      <c r="N390" s="10">
        <v>192</v>
      </c>
      <c r="O390" s="17">
        <f t="shared" ref="O390:O453" si="73">IF(N390=0,$B$5,IF(N390&gt;$B$9,NA(),-($B$6-$B$5)*(1-(N390/$B$9))^(0.985*((N390/$B$9)^(-0.625)))+$B$6))</f>
        <v>9.9011195505795051</v>
      </c>
      <c r="P390" s="17">
        <f t="shared" si="71"/>
        <v>192</v>
      </c>
      <c r="Q390" s="19">
        <f t="shared" si="72"/>
        <v>203.88122510855368</v>
      </c>
      <c r="R390" s="11">
        <f t="shared" ref="R390:R453" si="74">$B$13*($B$8-O390)</f>
        <v>0.29351227256195145</v>
      </c>
      <c r="S390" s="19">
        <f t="shared" ref="S390:S453" si="75">R390*$B$20</f>
        <v>54.593282696522969</v>
      </c>
      <c r="T390" s="19">
        <f t="shared" ref="T390:T453" si="76">R390*$B$20</f>
        <v>54.593282696522969</v>
      </c>
      <c r="U390" s="19">
        <f t="shared" ref="U390:U453" si="77">$B$21/2</f>
        <v>83.804000000000016</v>
      </c>
    </row>
    <row r="391" spans="14:21" x14ac:dyDescent="0.25">
      <c r="N391" s="10">
        <v>192.5</v>
      </c>
      <c r="O391" s="17">
        <f t="shared" si="73"/>
        <v>9.9417181189300408</v>
      </c>
      <c r="P391" s="17">
        <f t="shared" ref="P391:P454" si="78">N391</f>
        <v>192.5</v>
      </c>
      <c r="Q391" s="19">
        <f t="shared" si="72"/>
        <v>204.34479684042284</v>
      </c>
      <c r="R391" s="11">
        <f t="shared" si="74"/>
        <v>0.29220264132483736</v>
      </c>
      <c r="S391" s="19">
        <f t="shared" si="75"/>
        <v>54.349691286419748</v>
      </c>
      <c r="T391" s="19">
        <f t="shared" si="76"/>
        <v>54.349691286419748</v>
      </c>
      <c r="U391" s="19">
        <f t="shared" si="77"/>
        <v>83.804000000000016</v>
      </c>
    </row>
    <row r="392" spans="14:21" x14ac:dyDescent="0.25">
      <c r="N392" s="10">
        <v>193</v>
      </c>
      <c r="O392" s="17">
        <f t="shared" si="73"/>
        <v>9.9824402760701556</v>
      </c>
      <c r="P392" s="17">
        <f t="shared" si="78"/>
        <v>193</v>
      </c>
      <c r="Q392" s="19">
        <f t="shared" si="72"/>
        <v>204.80846856310578</v>
      </c>
      <c r="R392" s="11">
        <f t="shared" si="74"/>
        <v>0.2908890233525756</v>
      </c>
      <c r="S392" s="19">
        <f t="shared" si="75"/>
        <v>54.105358343579063</v>
      </c>
      <c r="T392" s="19">
        <f t="shared" si="76"/>
        <v>54.105358343579063</v>
      </c>
      <c r="U392" s="19">
        <f t="shared" si="77"/>
        <v>83.804000000000016</v>
      </c>
    </row>
    <row r="393" spans="14:21" x14ac:dyDescent="0.25">
      <c r="N393" s="10">
        <v>193.5</v>
      </c>
      <c r="O393" s="17">
        <f t="shared" si="73"/>
        <v>10.023287845453265</v>
      </c>
      <c r="P393" s="17">
        <f t="shared" si="78"/>
        <v>193.5</v>
      </c>
      <c r="Q393" s="19">
        <f t="shared" si="72"/>
        <v>205.27223955046333</v>
      </c>
      <c r="R393" s="11">
        <f t="shared" si="74"/>
        <v>0.28957135982408821</v>
      </c>
      <c r="S393" s="19">
        <f t="shared" si="75"/>
        <v>53.860272927280405</v>
      </c>
      <c r="T393" s="19">
        <f t="shared" si="76"/>
        <v>53.860272927280405</v>
      </c>
      <c r="U393" s="19">
        <f t="shared" si="77"/>
        <v>83.804000000000016</v>
      </c>
    </row>
    <row r="394" spans="14:21" x14ac:dyDescent="0.25">
      <c r="N394" s="10">
        <v>194</v>
      </c>
      <c r="O394" s="17">
        <f t="shared" si="73"/>
        <v>10.064262690437118</v>
      </c>
      <c r="P394" s="17">
        <f t="shared" si="78"/>
        <v>194</v>
      </c>
      <c r="Q394" s="19">
        <f t="shared" si="72"/>
        <v>205.73610907831423</v>
      </c>
      <c r="R394" s="11">
        <f t="shared" si="74"/>
        <v>0.2882495906310607</v>
      </c>
      <c r="S394" s="19">
        <f t="shared" si="75"/>
        <v>53.61442385737729</v>
      </c>
      <c r="T394" s="19">
        <f t="shared" si="76"/>
        <v>53.61442385737729</v>
      </c>
      <c r="U394" s="19">
        <f t="shared" si="77"/>
        <v>83.804000000000016</v>
      </c>
    </row>
    <row r="395" spans="14:21" x14ac:dyDescent="0.25">
      <c r="N395" s="10">
        <v>194.5</v>
      </c>
      <c r="O395" s="17">
        <f t="shared" si="73"/>
        <v>10.105366715832957</v>
      </c>
      <c r="P395" s="17">
        <f t="shared" si="78"/>
        <v>194.5</v>
      </c>
      <c r="Q395" s="19">
        <f t="shared" si="72"/>
        <v>206.20007642779726</v>
      </c>
      <c r="R395" s="11">
        <f t="shared" si="74"/>
        <v>0.28692365432796912</v>
      </c>
      <c r="S395" s="19">
        <f t="shared" si="75"/>
        <v>53.367799705002255</v>
      </c>
      <c r="T395" s="19">
        <f t="shared" si="76"/>
        <v>53.367799705002255</v>
      </c>
      <c r="U395" s="19">
        <f t="shared" si="77"/>
        <v>83.804000000000016</v>
      </c>
    </row>
    <row r="396" spans="14:21" x14ac:dyDescent="0.25">
      <c r="N396" s="10">
        <v>195</v>
      </c>
      <c r="O396" s="17">
        <f t="shared" si="73"/>
        <v>10.14660186953825</v>
      </c>
      <c r="P396" s="17">
        <f t="shared" si="78"/>
        <v>195</v>
      </c>
      <c r="Q396" s="19">
        <f t="shared" si="72"/>
        <v>206.66414088904446</v>
      </c>
      <c r="R396" s="11">
        <f t="shared" si="74"/>
        <v>0.28559348807941126</v>
      </c>
      <c r="S396" s="19">
        <f t="shared" si="75"/>
        <v>53.120388782770497</v>
      </c>
      <c r="T396" s="19">
        <f t="shared" si="76"/>
        <v>53.120388782770497</v>
      </c>
      <c r="U396" s="19">
        <f t="shared" si="77"/>
        <v>83.804000000000016</v>
      </c>
    </row>
    <row r="397" spans="14:21" x14ac:dyDescent="0.25">
      <c r="N397" s="10">
        <v>195.5</v>
      </c>
      <c r="O397" s="17">
        <f t="shared" si="73"/>
        <v>10.187970144259012</v>
      </c>
      <c r="P397" s="17">
        <f t="shared" si="78"/>
        <v>195.5</v>
      </c>
      <c r="Q397" s="19">
        <f t="shared" si="72"/>
        <v>207.12830176519358</v>
      </c>
      <c r="R397" s="11">
        <f t="shared" si="74"/>
        <v>0.28425902760454802</v>
      </c>
      <c r="S397" s="19">
        <f t="shared" si="75"/>
        <v>52.872179134445929</v>
      </c>
      <c r="T397" s="19">
        <f t="shared" si="76"/>
        <v>52.872179134445929</v>
      </c>
      <c r="U397" s="19">
        <f t="shared" si="77"/>
        <v>83.804000000000016</v>
      </c>
    </row>
    <row r="398" spans="14:21" x14ac:dyDescent="0.25">
      <c r="N398" s="10">
        <v>196</v>
      </c>
      <c r="O398" s="17">
        <f t="shared" si="73"/>
        <v>10.229473579328294</v>
      </c>
      <c r="P398" s="17">
        <f t="shared" si="78"/>
        <v>196</v>
      </c>
      <c r="Q398" s="19">
        <f t="shared" si="72"/>
        <v>207.59255837677219</v>
      </c>
      <c r="R398" s="11">
        <f t="shared" si="74"/>
        <v>0.28292020711844212</v>
      </c>
      <c r="S398" s="19">
        <f t="shared" si="75"/>
        <v>52.623158524030238</v>
      </c>
      <c r="T398" s="19">
        <f t="shared" si="76"/>
        <v>52.623158524030238</v>
      </c>
      <c r="U398" s="19">
        <f t="shared" si="77"/>
        <v>83.804000000000016</v>
      </c>
    </row>
    <row r="399" spans="14:21" x14ac:dyDescent="0.25">
      <c r="N399" s="10">
        <v>196.5</v>
      </c>
      <c r="O399" s="17">
        <f t="shared" si="73"/>
        <v>10.271114262627933</v>
      </c>
      <c r="P399" s="17">
        <f t="shared" si="78"/>
        <v>196.5</v>
      </c>
      <c r="Q399" s="19">
        <f t="shared" si="72"/>
        <v>208.05691006648851</v>
      </c>
      <c r="R399" s="11">
        <f t="shared" si="74"/>
        <v>0.28157695927006671</v>
      </c>
      <c r="S399" s="19">
        <f t="shared" si="75"/>
        <v>52.373314424232404</v>
      </c>
      <c r="T399" s="19">
        <f t="shared" si="76"/>
        <v>52.373314424232404</v>
      </c>
      <c r="U399" s="19">
        <f t="shared" si="77"/>
        <v>83.804000000000016</v>
      </c>
    </row>
    <row r="400" spans="14:21" x14ac:dyDescent="0.25">
      <c r="N400" s="10">
        <v>197</v>
      </c>
      <c r="O400" s="17">
        <f t="shared" si="73"/>
        <v>10.312894332621399</v>
      </c>
      <c r="P400" s="17">
        <f t="shared" si="78"/>
        <v>197</v>
      </c>
      <c r="Q400" s="19">
        <f t="shared" si="72"/>
        <v>208.52135620446842</v>
      </c>
      <c r="R400" s="11">
        <f t="shared" si="74"/>
        <v>0.28022921507672904</v>
      </c>
      <c r="S400" s="19">
        <f t="shared" si="75"/>
        <v>52.122634004271603</v>
      </c>
      <c r="T400" s="19">
        <f t="shared" si="76"/>
        <v>52.122634004271603</v>
      </c>
      <c r="U400" s="19">
        <f t="shared" si="77"/>
        <v>83.804000000000016</v>
      </c>
    </row>
    <row r="401" spans="14:21" x14ac:dyDescent="0.25">
      <c r="N401" s="10">
        <v>197.5</v>
      </c>
      <c r="O401" s="17">
        <f t="shared" si="73"/>
        <v>10.354815980506313</v>
      </c>
      <c r="P401" s="17">
        <f t="shared" si="78"/>
        <v>197.5</v>
      </c>
      <c r="Q401" s="19">
        <f t="shared" si="72"/>
        <v>208.98589619398163</v>
      </c>
      <c r="R401" s="11">
        <f t="shared" si="74"/>
        <v>0.27887690385463504</v>
      </c>
      <c r="S401" s="19">
        <f t="shared" si="75"/>
        <v>51.871104116962115</v>
      </c>
      <c r="T401" s="19">
        <f t="shared" si="76"/>
        <v>51.871104116962115</v>
      </c>
      <c r="U401" s="19">
        <f t="shared" si="77"/>
        <v>83.804000000000016</v>
      </c>
    </row>
    <row r="402" spans="14:21" x14ac:dyDescent="0.25">
      <c r="N402" s="10">
        <v>198</v>
      </c>
      <c r="O402" s="17">
        <f t="shared" si="73"/>
        <v>10.396881452495986</v>
      </c>
      <c r="P402" s="17">
        <f t="shared" si="78"/>
        <v>198</v>
      </c>
      <c r="Q402" s="19">
        <f t="shared" si="72"/>
        <v>209.45052947770549</v>
      </c>
      <c r="R402" s="11">
        <f t="shared" si="74"/>
        <v>0.27751995314529077</v>
      </c>
      <c r="S402" s="19">
        <f t="shared" si="75"/>
        <v>51.618711285024084</v>
      </c>
      <c r="T402" s="19">
        <f t="shared" si="76"/>
        <v>51.618711285024084</v>
      </c>
      <c r="U402" s="19">
        <f t="shared" si="77"/>
        <v>83.804000000000016</v>
      </c>
    </row>
    <row r="403" spans="14:21" x14ac:dyDescent="0.25">
      <c r="N403" s="10">
        <v>198.5</v>
      </c>
      <c r="O403" s="17">
        <f t="shared" si="73"/>
        <v>10.43909305224032</v>
      </c>
      <c r="P403" s="17">
        <f t="shared" si="78"/>
        <v>198.5</v>
      </c>
      <c r="Q403" s="19">
        <f t="shared" si="72"/>
        <v>209.91525554458022</v>
      </c>
      <c r="R403" s="11">
        <f t="shared" si="74"/>
        <v>0.27615828863740904</v>
      </c>
      <c r="S403" s="19">
        <f t="shared" si="75"/>
        <v>51.365441686558086</v>
      </c>
      <c r="T403" s="19">
        <f t="shared" si="76"/>
        <v>51.365441686558086</v>
      </c>
      <c r="U403" s="19">
        <f t="shared" si="77"/>
        <v>83.804000000000016</v>
      </c>
    </row>
    <row r="404" spans="14:21" x14ac:dyDescent="0.25">
      <c r="N404" s="10">
        <v>199</v>
      </c>
      <c r="O404" s="17">
        <f t="shared" si="73"/>
        <v>10.481453143397406</v>
      </c>
      <c r="P404" s="17">
        <f t="shared" si="78"/>
        <v>199</v>
      </c>
      <c r="Q404" s="19">
        <f t="shared" si="72"/>
        <v>210.38007393731465</v>
      </c>
      <c r="R404" s="11">
        <f t="shared" si="74"/>
        <v>0.27479183408395463</v>
      </c>
      <c r="S404" s="19">
        <f t="shared" si="75"/>
        <v>51.111281139615564</v>
      </c>
      <c r="T404" s="19">
        <f t="shared" si="76"/>
        <v>51.111281139615564</v>
      </c>
      <c r="U404" s="19">
        <f t="shared" si="77"/>
        <v>83.804000000000016</v>
      </c>
    </row>
    <row r="405" spans="14:21" x14ac:dyDescent="0.25">
      <c r="N405" s="10">
        <v>199.5</v>
      </c>
      <c r="O405" s="17">
        <f t="shared" si="73"/>
        <v>10.523964152368318</v>
      </c>
      <c r="P405" s="17">
        <f t="shared" si="78"/>
        <v>199.5</v>
      </c>
      <c r="Q405" s="19">
        <f t="shared" si="72"/>
        <v>210.84498426060995</v>
      </c>
      <c r="R405" s="11">
        <f t="shared" si="74"/>
        <v>0.27342051121392519</v>
      </c>
      <c r="S405" s="19">
        <f t="shared" si="75"/>
        <v>50.856215085790083</v>
      </c>
      <c r="T405" s="19">
        <f t="shared" si="76"/>
        <v>50.856215085790083</v>
      </c>
      <c r="U405" s="19">
        <f t="shared" si="77"/>
        <v>83.804000000000016</v>
      </c>
    </row>
    <row r="406" spans="14:21" x14ac:dyDescent="0.25">
      <c r="N406" s="10">
        <v>200</v>
      </c>
      <c r="O406" s="17">
        <f t="shared" si="73"/>
        <v>10.566628571208945</v>
      </c>
      <c r="P406" s="17">
        <f t="shared" si="78"/>
        <v>200</v>
      </c>
      <c r="Q406" s="19">
        <f t="shared" si="72"/>
        <v>211.30998619017475</v>
      </c>
      <c r="R406" s="11">
        <f t="shared" si="74"/>
        <v>0.27204423963842111</v>
      </c>
      <c r="S406" s="19">
        <f t="shared" si="75"/>
        <v>50.600228572746325</v>
      </c>
      <c r="T406" s="19">
        <f t="shared" si="76"/>
        <v>50.600228572746325</v>
      </c>
      <c r="U406" s="19">
        <f t="shared" si="77"/>
        <v>83.804000000000016</v>
      </c>
    </row>
    <row r="407" spans="14:21" x14ac:dyDescent="0.25">
      <c r="N407" s="10">
        <v>200.5</v>
      </c>
      <c r="O407" s="17">
        <f t="shared" si="73"/>
        <v>10.609448960734142</v>
      </c>
      <c r="P407" s="17">
        <f t="shared" si="78"/>
        <v>200.5</v>
      </c>
      <c r="Q407" s="19">
        <f t="shared" si="72"/>
        <v>211.77507948261638</v>
      </c>
      <c r="R407" s="11">
        <f t="shared" si="74"/>
        <v>0.27066293675051156</v>
      </c>
      <c r="S407" s="19">
        <f t="shared" si="75"/>
        <v>50.343306235595151</v>
      </c>
      <c r="T407" s="19">
        <f t="shared" si="76"/>
        <v>50.343306235595151</v>
      </c>
      <c r="U407" s="19">
        <f t="shared" si="77"/>
        <v>83.804000000000016</v>
      </c>
    </row>
    <row r="408" spans="14:21" x14ac:dyDescent="0.25">
      <c r="N408" s="10">
        <v>201</v>
      </c>
      <c r="O408" s="17">
        <f t="shared" si="73"/>
        <v>10.652427953831165</v>
      </c>
      <c r="P408" s="17">
        <f t="shared" si="78"/>
        <v>201</v>
      </c>
      <c r="Q408" s="19">
        <f t="shared" si="72"/>
        <v>212.24026398630016</v>
      </c>
      <c r="R408" s="11">
        <f t="shared" si="74"/>
        <v>0.26927651761834953</v>
      </c>
      <c r="S408" s="19">
        <f t="shared" si="75"/>
        <v>50.085432277013012</v>
      </c>
      <c r="T408" s="19">
        <f t="shared" si="76"/>
        <v>50.085432277013012</v>
      </c>
      <c r="U408" s="19">
        <f t="shared" si="77"/>
        <v>83.804000000000016</v>
      </c>
    </row>
    <row r="409" spans="14:21" x14ac:dyDescent="0.25">
      <c r="N409" s="10">
        <v>201.5</v>
      </c>
      <c r="O409" s="17">
        <f t="shared" si="73"/>
        <v>10.695568259001229</v>
      </c>
      <c r="P409" s="17">
        <f t="shared" si="78"/>
        <v>201.5</v>
      </c>
      <c r="Q409" s="19">
        <f t="shared" si="72"/>
        <v>212.70553965328352</v>
      </c>
      <c r="R409" s="11">
        <f t="shared" si="74"/>
        <v>0.26788489487092809</v>
      </c>
      <c r="S409" s="19">
        <f t="shared" si="75"/>
        <v>49.826590445992622</v>
      </c>
      <c r="T409" s="19">
        <f t="shared" si="76"/>
        <v>49.826590445992622</v>
      </c>
      <c r="U409" s="19">
        <f t="shared" si="77"/>
        <v>83.804000000000016</v>
      </c>
    </row>
    <row r="410" spans="14:21" x14ac:dyDescent="0.25">
      <c r="N410" s="10">
        <v>202</v>
      </c>
      <c r="O410" s="17">
        <f t="shared" si="73"/>
        <v>10.738872664150202</v>
      </c>
      <c r="P410" s="17">
        <f t="shared" si="78"/>
        <v>202</v>
      </c>
      <c r="Q410" s="19">
        <f t="shared" si="72"/>
        <v>213.17090655244201</v>
      </c>
      <c r="R410" s="11">
        <f t="shared" si="74"/>
        <v>0.26648797857579992</v>
      </c>
      <c r="S410" s="19">
        <f t="shared" si="75"/>
        <v>49.566764015098784</v>
      </c>
      <c r="T410" s="19">
        <f t="shared" si="76"/>
        <v>49.566764015098784</v>
      </c>
      <c r="U410" s="19">
        <f t="shared" si="77"/>
        <v>83.804000000000016</v>
      </c>
    </row>
    <row r="411" spans="14:21" x14ac:dyDescent="0.25">
      <c r="N411" s="10">
        <v>202.5</v>
      </c>
      <c r="O411" s="17">
        <f t="shared" si="73"/>
        <v>10.782344040651854</v>
      </c>
      <c r="P411" s="17">
        <f t="shared" si="78"/>
        <v>202.5</v>
      </c>
      <c r="Q411" s="19">
        <f t="shared" si="72"/>
        <v>213.63636488392186</v>
      </c>
      <c r="R411" s="11">
        <f t="shared" si="74"/>
        <v>0.26508567610800471</v>
      </c>
      <c r="S411" s="19">
        <f t="shared" si="75"/>
        <v>49.305935756088878</v>
      </c>
      <c r="T411" s="19">
        <f t="shared" si="76"/>
        <v>49.305935756088878</v>
      </c>
      <c r="U411" s="19">
        <f t="shared" si="77"/>
        <v>83.804000000000016</v>
      </c>
    </row>
    <row r="412" spans="14:21" x14ac:dyDescent="0.25">
      <c r="N412" s="10">
        <v>203</v>
      </c>
      <c r="O412" s="17">
        <f t="shared" si="73"/>
        <v>10.825985347709874</v>
      </c>
      <c r="P412" s="17">
        <f t="shared" si="78"/>
        <v>203</v>
      </c>
      <c r="Q412" s="19">
        <f t="shared" si="72"/>
        <v>214.10191499506988</v>
      </c>
      <c r="R412" s="11">
        <f t="shared" si="74"/>
        <v>0.26367789200935887</v>
      </c>
      <c r="S412" s="19">
        <f t="shared" si="75"/>
        <v>49.044087913740753</v>
      </c>
      <c r="T412" s="19">
        <f t="shared" si="76"/>
        <v>49.044087913740753</v>
      </c>
      <c r="U412" s="19">
        <f t="shared" si="77"/>
        <v>83.804000000000016</v>
      </c>
    </row>
    <row r="413" spans="14:21" x14ac:dyDescent="0.25">
      <c r="N413" s="10">
        <v>203.5</v>
      </c>
      <c r="O413" s="17">
        <f t="shared" si="73"/>
        <v>10.869799637048102</v>
      </c>
      <c r="P413" s="17">
        <f t="shared" si="78"/>
        <v>203.5</v>
      </c>
      <c r="Q413" s="19">
        <f t="shared" si="72"/>
        <v>214.56755739801233</v>
      </c>
      <c r="R413" s="11">
        <f t="shared" si="74"/>
        <v>0.26226452783715798</v>
      </c>
      <c r="S413" s="19">
        <f t="shared" si="75"/>
        <v>48.781202177711386</v>
      </c>
      <c r="T413" s="19">
        <f t="shared" si="76"/>
        <v>48.781202177711386</v>
      </c>
      <c r="U413" s="19">
        <f t="shared" si="77"/>
        <v>83.804000000000016</v>
      </c>
    </row>
    <row r="414" spans="14:21" x14ac:dyDescent="0.25">
      <c r="N414" s="10">
        <v>204</v>
      </c>
      <c r="O414" s="17">
        <f t="shared" si="73"/>
        <v>10.91379005796199</v>
      </c>
      <c r="P414" s="17">
        <f t="shared" si="78"/>
        <v>204</v>
      </c>
      <c r="Q414" s="19">
        <f t="shared" si="72"/>
        <v>215.03329278907765</v>
      </c>
      <c r="R414" s="11">
        <f t="shared" si="74"/>
        <v>0.26084548200122615</v>
      </c>
      <c r="S414" s="19">
        <f t="shared" si="75"/>
        <v>48.517259652228063</v>
      </c>
      <c r="T414" s="19">
        <f t="shared" si="76"/>
        <v>48.517259652228063</v>
      </c>
      <c r="U414" s="19">
        <f t="shared" si="77"/>
        <v>83.804000000000016</v>
      </c>
    </row>
    <row r="415" spans="14:21" x14ac:dyDescent="0.25">
      <c r="N415" s="10">
        <v>204.5</v>
      </c>
      <c r="O415" s="17">
        <f t="shared" si="73"/>
        <v>10.957959862768675</v>
      </c>
      <c r="P415" s="17">
        <f t="shared" si="78"/>
        <v>204.5</v>
      </c>
      <c r="Q415" s="19">
        <f t="shared" ref="Q415:Q478" si="79" xml:space="preserve"> -0.0232*O415^3 + 0.296*O415^2 + 12.396*O415 + 74.648</f>
        <v>215.49912207028578</v>
      </c>
      <c r="R415" s="11">
        <f t="shared" si="74"/>
        <v>0.25942064958810723</v>
      </c>
      <c r="S415" s="19">
        <f t="shared" si="75"/>
        <v>48.252240823387943</v>
      </c>
      <c r="T415" s="19">
        <f t="shared" si="76"/>
        <v>48.252240823387943</v>
      </c>
      <c r="U415" s="19">
        <f t="shared" si="77"/>
        <v>83.804000000000016</v>
      </c>
    </row>
    <row r="416" spans="14:21" x14ac:dyDescent="0.25">
      <c r="N416" s="10">
        <v>205</v>
      </c>
      <c r="O416" s="17">
        <f t="shared" si="73"/>
        <v>11.002312412697751</v>
      </c>
      <c r="P416" s="17">
        <f t="shared" si="78"/>
        <v>205</v>
      </c>
      <c r="Q416" s="19">
        <f t="shared" si="79"/>
        <v>215.96504637315707</v>
      </c>
      <c r="R416" s="11">
        <f t="shared" si="74"/>
        <v>0.25798992217104028</v>
      </c>
      <c r="S416" s="19">
        <f t="shared" si="75"/>
        <v>47.986125523813492</v>
      </c>
      <c r="T416" s="19">
        <f t="shared" si="76"/>
        <v>47.986125523813492</v>
      </c>
      <c r="U416" s="19">
        <f t="shared" si="77"/>
        <v>83.804000000000016</v>
      </c>
    </row>
    <row r="417" spans="14:21" x14ac:dyDescent="0.25">
      <c r="N417" s="10">
        <v>205.5</v>
      </c>
      <c r="O417" s="17">
        <f t="shared" si="73"/>
        <v>11.046851184270665</v>
      </c>
      <c r="P417" s="17">
        <f t="shared" si="78"/>
        <v>205.5</v>
      </c>
      <c r="Q417" s="19">
        <f t="shared" si="79"/>
        <v>216.43106708513344</v>
      </c>
      <c r="R417" s="11">
        <f t="shared" si="74"/>
        <v>0.25655318760417212</v>
      </c>
      <c r="S417" s="19">
        <f t="shared" si="75"/>
        <v>47.718892894376012</v>
      </c>
      <c r="T417" s="19">
        <f t="shared" si="76"/>
        <v>47.718892894376012</v>
      </c>
      <c r="U417" s="19">
        <f t="shared" si="77"/>
        <v>83.804000000000016</v>
      </c>
    </row>
    <row r="418" spans="14:21" x14ac:dyDescent="0.25">
      <c r="N418" s="10">
        <v>206</v>
      </c>
      <c r="O418" s="17">
        <f t="shared" si="73"/>
        <v>11.091579776223114</v>
      </c>
      <c r="P418" s="17">
        <f t="shared" si="78"/>
        <v>206</v>
      </c>
      <c r="Q418" s="19">
        <f t="shared" si="79"/>
        <v>216.89718587894495</v>
      </c>
      <c r="R418" s="11">
        <f t="shared" si="74"/>
        <v>0.25511032979925441</v>
      </c>
      <c r="S418" s="19">
        <f t="shared" si="75"/>
        <v>47.450521342661318</v>
      </c>
      <c r="T418" s="19">
        <f t="shared" si="76"/>
        <v>47.450521342661318</v>
      </c>
      <c r="U418" s="19">
        <f t="shared" si="77"/>
        <v>83.804000000000016</v>
      </c>
    </row>
    <row r="419" spans="14:21" x14ac:dyDescent="0.25">
      <c r="N419" s="10">
        <v>206.5</v>
      </c>
      <c r="O419" s="17">
        <f t="shared" si="73"/>
        <v>11.136501917032611</v>
      </c>
      <c r="P419" s="17">
        <f t="shared" si="78"/>
        <v>206.5</v>
      </c>
      <c r="Q419" s="19">
        <f t="shared" si="79"/>
        <v>217.36340474530857</v>
      </c>
      <c r="R419" s="11">
        <f t="shared" si="74"/>
        <v>0.25366122848281902</v>
      </c>
      <c r="S419" s="19">
        <f t="shared" si="75"/>
        <v>47.180988497804336</v>
      </c>
      <c r="T419" s="19">
        <f t="shared" si="76"/>
        <v>47.180988497804336</v>
      </c>
      <c r="U419" s="19">
        <f t="shared" si="77"/>
        <v>83.804000000000016</v>
      </c>
    </row>
    <row r="420" spans="14:21" x14ac:dyDescent="0.25">
      <c r="N420" s="10">
        <v>207</v>
      </c>
      <c r="O420" s="17">
        <f t="shared" si="73"/>
        <v>11.181621473122398</v>
      </c>
      <c r="P420" s="17">
        <f t="shared" si="78"/>
        <v>207</v>
      </c>
      <c r="Q420" s="19">
        <f t="shared" si="79"/>
        <v>217.82972602940598</v>
      </c>
      <c r="R420" s="11">
        <f t="shared" si="74"/>
        <v>0.25220575893153552</v>
      </c>
      <c r="S420" s="19">
        <f t="shared" si="75"/>
        <v>46.910271161265605</v>
      </c>
      <c r="T420" s="19">
        <f t="shared" si="76"/>
        <v>46.910271161265605</v>
      </c>
      <c r="U420" s="19">
        <f t="shared" si="77"/>
        <v>83.804000000000016</v>
      </c>
    </row>
    <row r="421" spans="14:21" x14ac:dyDescent="0.25">
      <c r="N421" s="10">
        <v>207.5</v>
      </c>
      <c r="O421" s="17">
        <f t="shared" si="73"/>
        <v>11.226942457823489</v>
      </c>
      <c r="P421" s="17">
        <f t="shared" si="78"/>
        <v>207.5</v>
      </c>
      <c r="Q421" s="19">
        <f t="shared" si="79"/>
        <v>218.29615247165773</v>
      </c>
      <c r="R421" s="11">
        <f t="shared" si="74"/>
        <v>0.25074379168311328</v>
      </c>
      <c r="S421" s="19">
        <f t="shared" si="75"/>
        <v>46.638345253059072</v>
      </c>
      <c r="T421" s="19">
        <f t="shared" si="76"/>
        <v>46.638345253059072</v>
      </c>
      <c r="U421" s="19">
        <f t="shared" si="77"/>
        <v>83.804000000000016</v>
      </c>
    </row>
    <row r="422" spans="14:21" x14ac:dyDescent="0.25">
      <c r="N422" s="10">
        <v>208</v>
      </c>
      <c r="O422" s="17">
        <f t="shared" si="73"/>
        <v>11.272469041189337</v>
      </c>
      <c r="P422" s="17">
        <f t="shared" si="78"/>
        <v>208</v>
      </c>
      <c r="Q422" s="19">
        <f t="shared" si="79"/>
        <v>218.76268725339983</v>
      </c>
      <c r="R422" s="11">
        <f t="shared" si="74"/>
        <v>0.24927519221969879</v>
      </c>
      <c r="S422" s="19">
        <f t="shared" si="75"/>
        <v>46.365185752863972</v>
      </c>
      <c r="T422" s="19">
        <f t="shared" si="76"/>
        <v>46.365185752863972</v>
      </c>
      <c r="U422" s="19">
        <f t="shared" si="77"/>
        <v>83.804000000000016</v>
      </c>
    </row>
    <row r="423" spans="14:21" x14ac:dyDescent="0.25">
      <c r="N423" s="10">
        <v>208.5</v>
      </c>
      <c r="O423" s="17">
        <f t="shared" si="73"/>
        <v>11.31820556077251</v>
      </c>
      <c r="P423" s="17">
        <f t="shared" si="78"/>
        <v>208.5</v>
      </c>
      <c r="Q423" s="19">
        <f t="shared" si="79"/>
        <v>219.22933404816843</v>
      </c>
      <c r="R423" s="11">
        <f t="shared" si="74"/>
        <v>0.24779982062024161</v>
      </c>
      <c r="S423" s="19">
        <f t="shared" si="75"/>
        <v>46.090766635364943</v>
      </c>
      <c r="T423" s="19">
        <f t="shared" si="76"/>
        <v>46.090766635364943</v>
      </c>
      <c r="U423" s="19">
        <f t="shared" si="77"/>
        <v>83.804000000000016</v>
      </c>
    </row>
    <row r="424" spans="14:21" x14ac:dyDescent="0.25">
      <c r="N424" s="10">
        <v>209</v>
      </c>
      <c r="O424" s="17">
        <f t="shared" si="73"/>
        <v>11.364156533490682</v>
      </c>
      <c r="P424" s="17">
        <f t="shared" si="78"/>
        <v>209</v>
      </c>
      <c r="Q424" s="19">
        <f t="shared" si="79"/>
        <v>219.69609707942365</v>
      </c>
      <c r="R424" s="11">
        <f t="shared" si="74"/>
        <v>0.24631753117771993</v>
      </c>
      <c r="S424" s="19">
        <f t="shared" si="75"/>
        <v>45.815060799055907</v>
      </c>
      <c r="T424" s="19">
        <f t="shared" si="76"/>
        <v>45.815060799055907</v>
      </c>
      <c r="U424" s="19">
        <f t="shared" si="77"/>
        <v>83.804000000000016</v>
      </c>
    </row>
    <row r="425" spans="14:21" x14ac:dyDescent="0.25">
      <c r="N425" s="10">
        <v>209.5</v>
      </c>
      <c r="O425" s="17">
        <f t="shared" si="73"/>
        <v>11.410326668730857</v>
      </c>
      <c r="P425" s="17">
        <f t="shared" si="78"/>
        <v>209.5</v>
      </c>
      <c r="Q425" s="19">
        <f t="shared" si="79"/>
        <v>220.16298118569387</v>
      </c>
      <c r="R425" s="11">
        <f t="shared" si="74"/>
        <v>0.24482817197642395</v>
      </c>
      <c r="S425" s="19">
        <f t="shared" si="75"/>
        <v>45.538039987614859</v>
      </c>
      <c r="T425" s="19">
        <f t="shared" si="76"/>
        <v>45.538039987614859</v>
      </c>
      <c r="U425" s="19">
        <f t="shared" si="77"/>
        <v>83.804000000000016</v>
      </c>
    </row>
    <row r="426" spans="14:21" x14ac:dyDescent="0.25">
      <c r="N426" s="10">
        <v>210</v>
      </c>
      <c r="O426" s="17">
        <f t="shared" si="73"/>
        <v>11.456720882866565</v>
      </c>
      <c r="P426" s="17">
        <f t="shared" si="78"/>
        <v>210</v>
      </c>
      <c r="Q426" s="19">
        <f t="shared" si="79"/>
        <v>220.62999189430104</v>
      </c>
      <c r="R426" s="11">
        <f t="shared" si="74"/>
        <v>0.24333158442365921</v>
      </c>
      <c r="S426" s="19">
        <f t="shared" si="75"/>
        <v>45.259674702800609</v>
      </c>
      <c r="T426" s="19">
        <f t="shared" si="76"/>
        <v>45.259674702800609</v>
      </c>
      <c r="U426" s="19">
        <f t="shared" si="77"/>
        <v>83.804000000000016</v>
      </c>
    </row>
    <row r="427" spans="14:21" x14ac:dyDescent="0.25">
      <c r="N427" s="10">
        <v>210.5</v>
      </c>
      <c r="O427" s="17">
        <f t="shared" si="73"/>
        <v>11.503344315394539</v>
      </c>
      <c r="P427" s="17">
        <f t="shared" si="78"/>
        <v>210.5</v>
      </c>
      <c r="Q427" s="19">
        <f t="shared" si="79"/>
        <v>221.09713550505407</v>
      </c>
      <c r="R427" s="11">
        <f t="shared" si="74"/>
        <v>0.24182760272920842</v>
      </c>
      <c r="S427" s="19">
        <f t="shared" si="75"/>
        <v>44.979934107632765</v>
      </c>
      <c r="T427" s="19">
        <f t="shared" si="76"/>
        <v>44.979934107632765</v>
      </c>
      <c r="U427" s="19">
        <f t="shared" si="77"/>
        <v>83.804000000000016</v>
      </c>
    </row>
    <row r="428" spans="14:21" x14ac:dyDescent="0.25">
      <c r="N428" s="10">
        <v>211</v>
      </c>
      <c r="O428" s="17">
        <f t="shared" si="73"/>
        <v>11.550202346935848</v>
      </c>
      <c r="P428" s="17">
        <f t="shared" si="78"/>
        <v>211</v>
      </c>
      <c r="Q428" s="19">
        <f t="shared" si="79"/>
        <v>221.56441918556752</v>
      </c>
      <c r="R428" s="11">
        <f t="shared" si="74"/>
        <v>0.24031605332465006</v>
      </c>
      <c r="S428" s="19">
        <f t="shared" si="75"/>
        <v>44.698785918384914</v>
      </c>
      <c r="T428" s="19">
        <f t="shared" si="76"/>
        <v>44.698785918384914</v>
      </c>
      <c r="U428" s="19">
        <f t="shared" si="77"/>
        <v>83.804000000000016</v>
      </c>
    </row>
    <row r="429" spans="14:21" x14ac:dyDescent="0.25">
      <c r="N429" s="10">
        <v>211.5</v>
      </c>
      <c r="O429" s="17">
        <f t="shared" si="73"/>
        <v>11.597300619394058</v>
      </c>
      <c r="P429" s="17">
        <f t="shared" si="78"/>
        <v>211.5</v>
      </c>
      <c r="Q429" s="19">
        <f t="shared" si="79"/>
        <v>222.03185108020548</v>
      </c>
      <c r="R429" s="11">
        <f t="shared" si="74"/>
        <v>0.23879675421309488</v>
      </c>
      <c r="S429" s="19">
        <f t="shared" si="75"/>
        <v>44.416196283635649</v>
      </c>
      <c r="T429" s="19">
        <f t="shared" si="76"/>
        <v>44.416196283635649</v>
      </c>
      <c r="U429" s="19">
        <f t="shared" si="77"/>
        <v>83.804000000000016</v>
      </c>
    </row>
    <row r="430" spans="14:21" x14ac:dyDescent="0.25">
      <c r="N430" s="10">
        <v>212</v>
      </c>
      <c r="O430" s="17">
        <f t="shared" si="73"/>
        <v>11.644645058621991</v>
      </c>
      <c r="P430" s="17">
        <f t="shared" si="78"/>
        <v>212</v>
      </c>
      <c r="Q430" s="19">
        <f t="shared" si="79"/>
        <v>222.49944043507324</v>
      </c>
      <c r="R430" s="11">
        <f t="shared" si="74"/>
        <v>0.23726951423800027</v>
      </c>
      <c r="S430" s="19">
        <f t="shared" si="75"/>
        <v>44.132129648268048</v>
      </c>
      <c r="T430" s="19">
        <f t="shared" si="76"/>
        <v>44.132129648268048</v>
      </c>
      <c r="U430" s="19">
        <f t="shared" si="77"/>
        <v>83.804000000000016</v>
      </c>
    </row>
    <row r="431" spans="14:21" x14ac:dyDescent="0.25">
      <c r="N431" s="10">
        <v>212.5</v>
      </c>
      <c r="O431" s="17">
        <f t="shared" si="73"/>
        <v>11.692241900022072</v>
      </c>
      <c r="P431" s="17">
        <f t="shared" si="78"/>
        <v>212.5</v>
      </c>
      <c r="Q431" s="19">
        <f t="shared" si="79"/>
        <v>222.96719774201182</v>
      </c>
      <c r="R431" s="11">
        <f t="shared" si="74"/>
        <v>0.23573413225735251</v>
      </c>
      <c r="S431" s="19">
        <f t="shared" si="75"/>
        <v>43.846548599867567</v>
      </c>
      <c r="T431" s="19">
        <f t="shared" si="76"/>
        <v>43.846548599867567</v>
      </c>
      <c r="U431" s="19">
        <f t="shared" si="77"/>
        <v>83.804000000000016</v>
      </c>
    </row>
    <row r="432" spans="14:21" x14ac:dyDescent="0.25">
      <c r="N432" s="10">
        <v>213</v>
      </c>
      <c r="O432" s="17">
        <f t="shared" si="73"/>
        <v>11.74009771759831</v>
      </c>
      <c r="P432" s="17">
        <f t="shared" si="78"/>
        <v>213</v>
      </c>
      <c r="Q432" s="19">
        <f t="shared" si="79"/>
        <v>223.43513490522756</v>
      </c>
      <c r="R432" s="11">
        <f t="shared" si="74"/>
        <v>0.23419039620650611</v>
      </c>
      <c r="S432" s="19">
        <f t="shared" si="75"/>
        <v>43.559413694410139</v>
      </c>
      <c r="T432" s="19">
        <f t="shared" si="76"/>
        <v>43.559413694410139</v>
      </c>
      <c r="U432" s="19">
        <f t="shared" si="77"/>
        <v>83.804000000000016</v>
      </c>
    </row>
    <row r="433" spans="14:21" x14ac:dyDescent="0.25">
      <c r="N433" s="10">
        <v>213.5</v>
      </c>
      <c r="O433" s="17">
        <f t="shared" si="73"/>
        <v>11.788219457095508</v>
      </c>
      <c r="P433" s="17">
        <f t="shared" si="78"/>
        <v>213.5</v>
      </c>
      <c r="Q433" s="19">
        <f t="shared" si="79"/>
        <v>223.90326543505219</v>
      </c>
      <c r="R433" s="11">
        <f t="shared" si="74"/>
        <v>0.23263808202917716</v>
      </c>
      <c r="S433" s="19">
        <f t="shared" si="75"/>
        <v>43.270683257426953</v>
      </c>
      <c r="T433" s="19">
        <f t="shared" si="76"/>
        <v>43.270683257426953</v>
      </c>
      <c r="U433" s="19">
        <f t="shared" si="77"/>
        <v>83.804000000000016</v>
      </c>
    </row>
    <row r="434" spans="14:21" x14ac:dyDescent="0.25">
      <c r="N434" s="10">
        <v>214</v>
      </c>
      <c r="O434" s="17">
        <f t="shared" si="73"/>
        <v>11.8366144740127</v>
      </c>
      <c r="P434" s="17">
        <f t="shared" si="78"/>
        <v>214</v>
      </c>
      <c r="Q434" s="19">
        <f t="shared" si="79"/>
        <v>224.37160467444519</v>
      </c>
      <c r="R434" s="11">
        <f t="shared" si="74"/>
        <v>0.23107695245120322</v>
      </c>
      <c r="S434" s="19">
        <f t="shared" si="75"/>
        <v>42.980313155923795</v>
      </c>
      <c r="T434" s="19">
        <f t="shared" si="76"/>
        <v>42.980313155923795</v>
      </c>
      <c r="U434" s="19">
        <f t="shared" si="77"/>
        <v>83.804000000000016</v>
      </c>
    </row>
    <row r="435" spans="14:21" x14ac:dyDescent="0.25">
      <c r="N435" s="10">
        <v>214.5</v>
      </c>
      <c r="O435" s="17">
        <f t="shared" si="73"/>
        <v>11.885290577473711</v>
      </c>
      <c r="P435" s="17">
        <f t="shared" si="78"/>
        <v>214.5</v>
      </c>
      <c r="Q435" s="19">
        <f t="shared" si="79"/>
        <v>224.84017006530362</v>
      </c>
      <c r="R435" s="11">
        <f t="shared" si="74"/>
        <v>0.22950675556536415</v>
      </c>
      <c r="S435" s="19">
        <f t="shared" si="75"/>
        <v>42.688256535157734</v>
      </c>
      <c r="T435" s="19">
        <f t="shared" si="76"/>
        <v>42.688256535157734</v>
      </c>
      <c r="U435" s="19">
        <f t="shared" si="77"/>
        <v>83.804000000000016</v>
      </c>
    </row>
    <row r="436" spans="14:21" x14ac:dyDescent="0.25">
      <c r="N436" s="10">
        <v>215</v>
      </c>
      <c r="O436" s="17">
        <f t="shared" si="73"/>
        <v>11.934256081194645</v>
      </c>
      <c r="P436" s="17">
        <f t="shared" si="78"/>
        <v>215</v>
      </c>
      <c r="Q436" s="19">
        <f t="shared" si="79"/>
        <v>225.30898146356628</v>
      </c>
      <c r="R436" s="11">
        <f t="shared" si="74"/>
        <v>0.22792722318726949</v>
      </c>
      <c r="S436" s="19">
        <f t="shared" si="75"/>
        <v>42.394463512832125</v>
      </c>
      <c r="T436" s="19">
        <f t="shared" si="76"/>
        <v>42.394463512832125</v>
      </c>
      <c r="U436" s="19">
        <f t="shared" si="77"/>
        <v>83.804000000000016</v>
      </c>
    </row>
    <row r="437" spans="14:21" x14ac:dyDescent="0.25">
      <c r="N437" s="10">
        <v>215.5</v>
      </c>
      <c r="O437" s="17">
        <f t="shared" si="73"/>
        <v>11.983519863129033</v>
      </c>
      <c r="P437" s="17">
        <f t="shared" si="78"/>
        <v>215.5</v>
      </c>
      <c r="Q437" s="19">
        <f t="shared" si="79"/>
        <v>225.77806151465694</v>
      </c>
      <c r="R437" s="11">
        <f t="shared" si="74"/>
        <v>0.22633806893132152</v>
      </c>
      <c r="S437" s="19">
        <f t="shared" si="75"/>
        <v>42.098880821225805</v>
      </c>
      <c r="T437" s="19">
        <f t="shared" si="76"/>
        <v>42.098880821225805</v>
      </c>
      <c r="U437" s="19">
        <f t="shared" si="77"/>
        <v>83.804000000000016</v>
      </c>
    </row>
    <row r="438" spans="14:21" x14ac:dyDescent="0.25">
      <c r="N438" s="10">
        <v>216</v>
      </c>
      <c r="O438" s="17">
        <f t="shared" si="73"/>
        <v>12.033091435829613</v>
      </c>
      <c r="P438" s="17">
        <f t="shared" si="78"/>
        <v>216</v>
      </c>
      <c r="Q438" s="19">
        <f t="shared" si="79"/>
        <v>226.24743610427765</v>
      </c>
      <c r="R438" s="11">
        <f t="shared" si="74"/>
        <v>0.22473898594098021</v>
      </c>
      <c r="S438" s="19">
        <f t="shared" si="75"/>
        <v>41.801451385022318</v>
      </c>
      <c r="T438" s="19">
        <f t="shared" si="76"/>
        <v>41.801451385022318</v>
      </c>
      <c r="U438" s="19">
        <f t="shared" si="77"/>
        <v>83.804000000000016</v>
      </c>
    </row>
    <row r="439" spans="14:21" x14ac:dyDescent="0.25">
      <c r="N439" s="10">
        <v>216.5</v>
      </c>
      <c r="O439" s="17">
        <f t="shared" si="73"/>
        <v>12.082981030191156</v>
      </c>
      <c r="P439" s="17">
        <f t="shared" si="78"/>
        <v>216.5</v>
      </c>
      <c r="Q439" s="19">
        <f t="shared" si="79"/>
        <v>226.7171349043152</v>
      </c>
      <c r="R439" s="11">
        <f t="shared" si="74"/>
        <v>0.22312964418738204</v>
      </c>
      <c r="S439" s="19">
        <f t="shared" si="75"/>
        <v>41.502113818853061</v>
      </c>
      <c r="T439" s="19">
        <f t="shared" si="76"/>
        <v>41.502113818853061</v>
      </c>
      <c r="U439" s="19">
        <f t="shared" si="77"/>
        <v>83.804000000000016</v>
      </c>
    </row>
    <row r="440" spans="14:21" x14ac:dyDescent="0.25">
      <c r="N440" s="10">
        <v>217</v>
      </c>
      <c r="O440" s="17">
        <f t="shared" si="73"/>
        <v>12.133199696105825</v>
      </c>
      <c r="P440" s="17">
        <f t="shared" si="78"/>
        <v>217</v>
      </c>
      <c r="Q440" s="19">
        <f t="shared" si="79"/>
        <v>227.18719204025226</v>
      </c>
      <c r="R440" s="11">
        <f t="shared" si="74"/>
        <v>0.22150968722239275</v>
      </c>
      <c r="S440" s="19">
        <f t="shared" si="75"/>
        <v>41.200801823365055</v>
      </c>
      <c r="T440" s="19">
        <f t="shared" si="76"/>
        <v>41.200801823365055</v>
      </c>
      <c r="U440" s="19">
        <f t="shared" si="77"/>
        <v>83.804000000000016</v>
      </c>
    </row>
    <row r="441" spans="14:21" x14ac:dyDescent="0.25">
      <c r="N441" s="10">
        <v>217.5</v>
      </c>
      <c r="O441" s="17">
        <f t="shared" si="73"/>
        <v>12.183759424786555</v>
      </c>
      <c r="P441" s="17">
        <f t="shared" si="78"/>
        <v>217.5</v>
      </c>
      <c r="Q441" s="19">
        <f t="shared" si="79"/>
        <v>227.65764691588353</v>
      </c>
      <c r="R441" s="11">
        <f t="shared" si="74"/>
        <v>0.21987872823269178</v>
      </c>
      <c r="S441" s="19">
        <f t="shared" si="75"/>
        <v>40.897443451280672</v>
      </c>
      <c r="T441" s="19">
        <f t="shared" si="76"/>
        <v>40.897443451280672</v>
      </c>
      <c r="U441" s="19">
        <f t="shared" si="77"/>
        <v>83.804000000000016</v>
      </c>
    </row>
    <row r="442" spans="14:21" x14ac:dyDescent="0.25">
      <c r="N442" s="10">
        <v>218</v>
      </c>
      <c r="O442" s="17">
        <f t="shared" si="73"/>
        <v>12.234673299276375</v>
      </c>
      <c r="P442" s="17">
        <f t="shared" si="78"/>
        <v>218</v>
      </c>
      <c r="Q442" s="19">
        <f t="shared" si="79"/>
        <v>228.12854524475691</v>
      </c>
      <c r="R442" s="11">
        <f t="shared" si="74"/>
        <v>0.21823634518463306</v>
      </c>
      <c r="S442" s="19">
        <f t="shared" si="75"/>
        <v>40.591960204341746</v>
      </c>
      <c r="T442" s="19">
        <f t="shared" si="76"/>
        <v>40.591960204341746</v>
      </c>
      <c r="U442" s="19">
        <f t="shared" si="77"/>
        <v>83.804000000000016</v>
      </c>
    </row>
    <row r="443" spans="14:21" x14ac:dyDescent="0.25">
      <c r="N443" s="10">
        <v>218.5</v>
      </c>
      <c r="O443" s="17">
        <f t="shared" si="73"/>
        <v>12.285955682256848</v>
      </c>
      <c r="P443" s="17">
        <f t="shared" si="78"/>
        <v>218.5</v>
      </c>
      <c r="Q443" s="19">
        <f t="shared" si="79"/>
        <v>228.5999403579259</v>
      </c>
      <c r="R443" s="11">
        <f t="shared" si="74"/>
        <v>0.21658207476590813</v>
      </c>
      <c r="S443" s="19">
        <f t="shared" si="75"/>
        <v>40.284265906458913</v>
      </c>
      <c r="T443" s="19">
        <f t="shared" si="76"/>
        <v>40.284265906458913</v>
      </c>
      <c r="U443" s="19">
        <f t="shared" si="77"/>
        <v>83.804000000000016</v>
      </c>
    </row>
    <row r="444" spans="14:21" x14ac:dyDescent="0.25">
      <c r="N444" s="10">
        <v>219</v>
      </c>
      <c r="O444" s="17">
        <f t="shared" si="73"/>
        <v>12.337622454187752</v>
      </c>
      <c r="P444" s="17">
        <f t="shared" si="78"/>
        <v>219</v>
      </c>
      <c r="Q444" s="19">
        <f t="shared" si="79"/>
        <v>229.07189488820708</v>
      </c>
      <c r="R444" s="11">
        <f t="shared" si="74"/>
        <v>0.21491540470362089</v>
      </c>
      <c r="S444" s="19">
        <f t="shared" si="75"/>
        <v>39.974265274873488</v>
      </c>
      <c r="T444" s="19">
        <f t="shared" si="76"/>
        <v>39.974265274873488</v>
      </c>
      <c r="U444" s="19">
        <f t="shared" si="77"/>
        <v>83.804000000000016</v>
      </c>
    </row>
    <row r="445" spans="14:21" x14ac:dyDescent="0.25">
      <c r="N445" s="10">
        <v>219.5</v>
      </c>
      <c r="O445" s="17">
        <f t="shared" si="73"/>
        <v>12.389691320901084</v>
      </c>
      <c r="P445" s="17">
        <f t="shared" si="78"/>
        <v>219.5</v>
      </c>
      <c r="Q445" s="19">
        <f t="shared" si="79"/>
        <v>229.54448297895701</v>
      </c>
      <c r="R445" s="11">
        <f t="shared" si="74"/>
        <v>0.21323576384190049</v>
      </c>
      <c r="S445" s="19">
        <f t="shared" si="75"/>
        <v>39.66185207459349</v>
      </c>
      <c r="T445" s="19">
        <f t="shared" si="76"/>
        <v>39.66185207459349</v>
      </c>
      <c r="U445" s="19">
        <f t="shared" si="77"/>
        <v>83.804000000000016</v>
      </c>
    </row>
    <row r="446" spans="14:21" x14ac:dyDescent="0.25">
      <c r="N446" s="10">
        <v>220</v>
      </c>
      <c r="O446" s="17">
        <f t="shared" si="73"/>
        <v>12.442182219557113</v>
      </c>
      <c r="P446" s="17">
        <f t="shared" si="78"/>
        <v>220</v>
      </c>
      <c r="Q446" s="19">
        <f t="shared" si="79"/>
        <v>230.01779324258536</v>
      </c>
      <c r="R446" s="11">
        <f t="shared" si="74"/>
        <v>0.21154250904654473</v>
      </c>
      <c r="S446" s="19">
        <f t="shared" si="75"/>
        <v>39.34690668265732</v>
      </c>
      <c r="T446" s="19">
        <f t="shared" si="76"/>
        <v>39.34690668265732</v>
      </c>
      <c r="U446" s="19">
        <f t="shared" si="77"/>
        <v>83.804000000000016</v>
      </c>
    </row>
    <row r="447" spans="14:21" x14ac:dyDescent="0.25">
      <c r="N447" s="10">
        <v>220.5</v>
      </c>
      <c r="O447" s="17">
        <f t="shared" si="73"/>
        <v>12.495117868205421</v>
      </c>
      <c r="P447" s="17">
        <f t="shared" si="78"/>
        <v>220.5</v>
      </c>
      <c r="Q447" s="19">
        <f t="shared" si="79"/>
        <v>230.49193282354923</v>
      </c>
      <c r="R447" s="11">
        <f t="shared" si="74"/>
        <v>0.20983490747724448</v>
      </c>
      <c r="S447" s="19">
        <f t="shared" si="75"/>
        <v>39.029292790767471</v>
      </c>
      <c r="T447" s="19">
        <f t="shared" si="76"/>
        <v>39.029292790767471</v>
      </c>
      <c r="U447" s="19">
        <f t="shared" si="77"/>
        <v>83.804000000000016</v>
      </c>
    </row>
    <row r="448" spans="14:21" x14ac:dyDescent="0.25">
      <c r="N448" s="10">
        <v>221</v>
      </c>
      <c r="O448" s="17">
        <f t="shared" si="73"/>
        <v>12.548524532730751</v>
      </c>
      <c r="P448" s="17">
        <f t="shared" si="78"/>
        <v>221</v>
      </c>
      <c r="Q448" s="19">
        <f t="shared" si="79"/>
        <v>230.96703314794203</v>
      </c>
      <c r="R448" s="11">
        <f t="shared" si="74"/>
        <v>0.20811211184739514</v>
      </c>
      <c r="S448" s="19">
        <f t="shared" si="75"/>
        <v>38.7088528036155</v>
      </c>
      <c r="T448" s="19">
        <f t="shared" si="76"/>
        <v>38.7088528036155</v>
      </c>
      <c r="U448" s="19">
        <f t="shared" si="77"/>
        <v>83.804000000000016</v>
      </c>
    </row>
    <row r="449" spans="14:21" x14ac:dyDescent="0.25">
      <c r="N449" s="10">
        <v>221.5</v>
      </c>
      <c r="O449" s="17">
        <f t="shared" si="73"/>
        <v>12.602433137598796</v>
      </c>
      <c r="P449" s="17">
        <f t="shared" si="78"/>
        <v>221.5</v>
      </c>
      <c r="Q449" s="19">
        <f t="shared" si="79"/>
        <v>231.44325836314925</v>
      </c>
      <c r="R449" s="11">
        <f t="shared" si="74"/>
        <v>0.20637312459358723</v>
      </c>
      <c r="S449" s="19">
        <f t="shared" si="75"/>
        <v>38.385401174407221</v>
      </c>
      <c r="T449" s="19">
        <f t="shared" si="76"/>
        <v>38.385401174407221</v>
      </c>
      <c r="U449" s="19">
        <f t="shared" si="77"/>
        <v>83.804000000000016</v>
      </c>
    </row>
    <row r="450" spans="14:21" x14ac:dyDescent="0.25">
      <c r="N450" s="10">
        <v>222</v>
      </c>
      <c r="O450" s="17">
        <f t="shared" si="73"/>
        <v>12.656880950567068</v>
      </c>
      <c r="P450" s="17">
        <f t="shared" si="78"/>
        <v>222</v>
      </c>
      <c r="Q450" s="19">
        <f t="shared" si="79"/>
        <v>231.9208183054325</v>
      </c>
      <c r="R450" s="11">
        <f t="shared" si="74"/>
        <v>0.20461674353009457</v>
      </c>
      <c r="S450" s="19">
        <f t="shared" si="75"/>
        <v>38.058714296597593</v>
      </c>
      <c r="T450" s="19">
        <f t="shared" si="76"/>
        <v>38.058714296597593</v>
      </c>
      <c r="U450" s="19">
        <f t="shared" si="77"/>
        <v>83.804000000000016</v>
      </c>
    </row>
    <row r="451" spans="14:21" x14ac:dyDescent="0.25">
      <c r="N451" s="10">
        <v>222.5</v>
      </c>
      <c r="O451" s="17">
        <f t="shared" si="73"/>
        <v>12.71191429377954</v>
      </c>
      <c r="P451" s="17">
        <f t="shared" si="78"/>
        <v>222.5</v>
      </c>
      <c r="Q451" s="19">
        <f t="shared" si="79"/>
        <v>232.39998962884792</v>
      </c>
      <c r="R451" s="11">
        <f t="shared" si="74"/>
        <v>0.20284147439420841</v>
      </c>
      <c r="S451" s="19">
        <f t="shared" si="75"/>
        <v>37.728514237322763</v>
      </c>
      <c r="T451" s="19">
        <f t="shared" si="76"/>
        <v>37.728514237322763</v>
      </c>
      <c r="U451" s="19">
        <f t="shared" si="77"/>
        <v>83.804000000000016</v>
      </c>
    </row>
    <row r="452" spans="14:21" x14ac:dyDescent="0.25">
      <c r="N452" s="10">
        <v>223</v>
      </c>
      <c r="O452" s="17">
        <f t="shared" si="73"/>
        <v>12.767593264089195</v>
      </c>
      <c r="P452" s="17">
        <f t="shared" si="78"/>
        <v>223</v>
      </c>
      <c r="Q452" s="19">
        <f t="shared" si="79"/>
        <v>232.88115303324381</v>
      </c>
      <c r="R452" s="11">
        <f t="shared" si="74"/>
        <v>0.20104537857776791</v>
      </c>
      <c r="S452" s="19">
        <f t="shared" si="75"/>
        <v>37.394440415464835</v>
      </c>
      <c r="T452" s="19">
        <f t="shared" si="76"/>
        <v>37.394440415464835</v>
      </c>
      <c r="U452" s="19">
        <f t="shared" si="77"/>
        <v>83.804000000000016</v>
      </c>
    </row>
    <row r="453" spans="14:21" x14ac:dyDescent="0.25">
      <c r="N453" s="10">
        <v>223.5</v>
      </c>
      <c r="O453" s="17">
        <f t="shared" si="73"/>
        <v>12.824000912188421</v>
      </c>
      <c r="P453" s="17">
        <f t="shared" si="78"/>
        <v>223.5</v>
      </c>
      <c r="Q453" s="19">
        <f t="shared" si="79"/>
        <v>233.36486648408055</v>
      </c>
      <c r="R453" s="11">
        <f t="shared" si="74"/>
        <v>0.19922577702617997</v>
      </c>
      <c r="S453" s="19">
        <f t="shared" si="75"/>
        <v>37.055994526869476</v>
      </c>
      <c r="T453" s="19">
        <f t="shared" si="76"/>
        <v>37.055994526869476</v>
      </c>
      <c r="U453" s="19">
        <f t="shared" si="77"/>
        <v>83.804000000000016</v>
      </c>
    </row>
    <row r="454" spans="14:21" x14ac:dyDescent="0.25">
      <c r="N454" s="10">
        <v>224</v>
      </c>
      <c r="O454" s="17">
        <f t="shared" ref="O454:O517" si="80">IF(N454=0,$B$5,IF(N454&gt;$B$9,NA(),-($B$6-$B$5)*(1-(N454/$B$9))^(0.985*((N454/$B$9)^(-0.625)))+$B$6))</f>
        <v>12.88126436905846</v>
      </c>
      <c r="P454" s="17">
        <f t="shared" si="78"/>
        <v>224</v>
      </c>
      <c r="Q454" s="19">
        <f t="shared" si="79"/>
        <v>233.85203557045944</v>
      </c>
      <c r="R454" s="11">
        <f t="shared" ref="R454:R517" si="81">$B$13*($B$8-O454)</f>
        <v>0.19737856874004966</v>
      </c>
      <c r="S454" s="19">
        <f t="shared" ref="S454:S517" si="82">R454*$B$20</f>
        <v>36.71241378564924</v>
      </c>
      <c r="T454" s="19">
        <f t="shared" ref="T454:T517" si="83">R454*$B$20</f>
        <v>36.71241378564924</v>
      </c>
      <c r="U454" s="19">
        <f t="shared" ref="U454:U517" si="84">$B$21/2</f>
        <v>83.804000000000016</v>
      </c>
    </row>
    <row r="455" spans="14:21" x14ac:dyDescent="0.25">
      <c r="N455" s="10">
        <v>224.5</v>
      </c>
      <c r="O455" s="17">
        <f t="shared" si="80"/>
        <v>12.939620519229734</v>
      </c>
      <c r="P455" s="17">
        <f t="shared" ref="P455:P518" si="85">N455</f>
        <v>224.5</v>
      </c>
      <c r="Q455" s="19">
        <f t="shared" si="79"/>
        <v>234.34444869284354</v>
      </c>
      <c r="R455" s="11">
        <f t="shared" si="81"/>
        <v>0.19549611228291178</v>
      </c>
      <c r="S455" s="19">
        <f t="shared" si="82"/>
        <v>36.362276884621593</v>
      </c>
      <c r="T455" s="19">
        <f t="shared" si="83"/>
        <v>36.362276884621593</v>
      </c>
      <c r="U455" s="19">
        <f t="shared" si="84"/>
        <v>83.804000000000016</v>
      </c>
    </row>
    <row r="456" spans="14:21" x14ac:dyDescent="0.25">
      <c r="N456" s="10">
        <v>225</v>
      </c>
      <c r="O456" s="17">
        <f t="shared" si="80"/>
        <v>13</v>
      </c>
      <c r="P456" s="17">
        <f t="shared" si="85"/>
        <v>225</v>
      </c>
      <c r="Q456" s="19">
        <f t="shared" si="79"/>
        <v>234.84960000000004</v>
      </c>
      <c r="R456" s="11">
        <f t="shared" si="81"/>
        <v>0.19354838709677419</v>
      </c>
      <c r="S456" s="19">
        <f t="shared" si="82"/>
        <v>36</v>
      </c>
      <c r="T456" s="19">
        <f t="shared" si="83"/>
        <v>36</v>
      </c>
      <c r="U456" s="19">
        <f t="shared" si="84"/>
        <v>83.804000000000016</v>
      </c>
    </row>
    <row r="457" spans="14:21" x14ac:dyDescent="0.25">
      <c r="N457" s="10">
        <v>225.5</v>
      </c>
      <c r="O457" s="17" t="e">
        <f t="shared" si="80"/>
        <v>#N/A</v>
      </c>
      <c r="P457" s="17">
        <f t="shared" si="85"/>
        <v>225.5</v>
      </c>
      <c r="Q457" s="19" t="e">
        <f t="shared" si="79"/>
        <v>#N/A</v>
      </c>
      <c r="R457" s="11" t="e">
        <f t="shared" si="81"/>
        <v>#N/A</v>
      </c>
      <c r="S457" s="19" t="e">
        <f t="shared" si="82"/>
        <v>#N/A</v>
      </c>
      <c r="T457" s="19" t="e">
        <f t="shared" si="83"/>
        <v>#N/A</v>
      </c>
      <c r="U457" s="19">
        <f t="shared" si="84"/>
        <v>83.804000000000016</v>
      </c>
    </row>
    <row r="458" spans="14:21" x14ac:dyDescent="0.25">
      <c r="N458" s="10">
        <v>226</v>
      </c>
      <c r="O458" s="17" t="e">
        <f t="shared" si="80"/>
        <v>#N/A</v>
      </c>
      <c r="P458" s="17">
        <f t="shared" si="85"/>
        <v>226</v>
      </c>
      <c r="Q458" s="19" t="e">
        <f t="shared" si="79"/>
        <v>#N/A</v>
      </c>
      <c r="R458" s="11" t="e">
        <f t="shared" si="81"/>
        <v>#N/A</v>
      </c>
      <c r="S458" s="19" t="e">
        <f t="shared" si="82"/>
        <v>#N/A</v>
      </c>
      <c r="T458" s="19" t="e">
        <f t="shared" si="83"/>
        <v>#N/A</v>
      </c>
      <c r="U458" s="19">
        <f t="shared" si="84"/>
        <v>83.804000000000016</v>
      </c>
    </row>
    <row r="459" spans="14:21" x14ac:dyDescent="0.25">
      <c r="N459" s="10">
        <v>226.5</v>
      </c>
      <c r="O459" s="17" t="e">
        <f t="shared" si="80"/>
        <v>#N/A</v>
      </c>
      <c r="P459" s="17">
        <f t="shared" si="85"/>
        <v>226.5</v>
      </c>
      <c r="Q459" s="19" t="e">
        <f t="shared" si="79"/>
        <v>#N/A</v>
      </c>
      <c r="R459" s="11" t="e">
        <f t="shared" si="81"/>
        <v>#N/A</v>
      </c>
      <c r="S459" s="19" t="e">
        <f t="shared" si="82"/>
        <v>#N/A</v>
      </c>
      <c r="T459" s="19" t="e">
        <f t="shared" si="83"/>
        <v>#N/A</v>
      </c>
      <c r="U459" s="19">
        <f t="shared" si="84"/>
        <v>83.804000000000016</v>
      </c>
    </row>
    <row r="460" spans="14:21" x14ac:dyDescent="0.25">
      <c r="N460" s="10">
        <v>227</v>
      </c>
      <c r="O460" s="17" t="e">
        <f t="shared" si="80"/>
        <v>#N/A</v>
      </c>
      <c r="P460" s="17">
        <f t="shared" si="85"/>
        <v>227</v>
      </c>
      <c r="Q460" s="19" t="e">
        <f t="shared" si="79"/>
        <v>#N/A</v>
      </c>
      <c r="R460" s="11" t="e">
        <f t="shared" si="81"/>
        <v>#N/A</v>
      </c>
      <c r="S460" s="19" t="e">
        <f t="shared" si="82"/>
        <v>#N/A</v>
      </c>
      <c r="T460" s="19" t="e">
        <f t="shared" si="83"/>
        <v>#N/A</v>
      </c>
      <c r="U460" s="19">
        <f t="shared" si="84"/>
        <v>83.804000000000016</v>
      </c>
    </row>
    <row r="461" spans="14:21" x14ac:dyDescent="0.25">
      <c r="N461" s="10">
        <v>227.5</v>
      </c>
      <c r="O461" s="17" t="e">
        <f t="shared" si="80"/>
        <v>#N/A</v>
      </c>
      <c r="P461" s="17">
        <f t="shared" si="85"/>
        <v>227.5</v>
      </c>
      <c r="Q461" s="19" t="e">
        <f t="shared" si="79"/>
        <v>#N/A</v>
      </c>
      <c r="R461" s="11" t="e">
        <f t="shared" si="81"/>
        <v>#N/A</v>
      </c>
      <c r="S461" s="19" t="e">
        <f t="shared" si="82"/>
        <v>#N/A</v>
      </c>
      <c r="T461" s="19" t="e">
        <f t="shared" si="83"/>
        <v>#N/A</v>
      </c>
      <c r="U461" s="19">
        <f t="shared" si="84"/>
        <v>83.804000000000016</v>
      </c>
    </row>
    <row r="462" spans="14:21" x14ac:dyDescent="0.25">
      <c r="N462" s="10">
        <v>228</v>
      </c>
      <c r="O462" s="17" t="e">
        <f t="shared" si="80"/>
        <v>#N/A</v>
      </c>
      <c r="P462" s="17">
        <f t="shared" si="85"/>
        <v>228</v>
      </c>
      <c r="Q462" s="19" t="e">
        <f t="shared" si="79"/>
        <v>#N/A</v>
      </c>
      <c r="R462" s="11" t="e">
        <f t="shared" si="81"/>
        <v>#N/A</v>
      </c>
      <c r="S462" s="19" t="e">
        <f t="shared" si="82"/>
        <v>#N/A</v>
      </c>
      <c r="T462" s="19" t="e">
        <f t="shared" si="83"/>
        <v>#N/A</v>
      </c>
      <c r="U462" s="19">
        <f t="shared" si="84"/>
        <v>83.804000000000016</v>
      </c>
    </row>
    <row r="463" spans="14:21" x14ac:dyDescent="0.25">
      <c r="N463" s="10">
        <v>228.5</v>
      </c>
      <c r="O463" s="17" t="e">
        <f t="shared" si="80"/>
        <v>#N/A</v>
      </c>
      <c r="P463" s="17">
        <f t="shared" si="85"/>
        <v>228.5</v>
      </c>
      <c r="Q463" s="19" t="e">
        <f t="shared" si="79"/>
        <v>#N/A</v>
      </c>
      <c r="R463" s="11" t="e">
        <f t="shared" si="81"/>
        <v>#N/A</v>
      </c>
      <c r="S463" s="19" t="e">
        <f t="shared" si="82"/>
        <v>#N/A</v>
      </c>
      <c r="T463" s="19" t="e">
        <f t="shared" si="83"/>
        <v>#N/A</v>
      </c>
      <c r="U463" s="19">
        <f t="shared" si="84"/>
        <v>83.804000000000016</v>
      </c>
    </row>
    <row r="464" spans="14:21" x14ac:dyDescent="0.25">
      <c r="N464" s="10">
        <v>229</v>
      </c>
      <c r="O464" s="17" t="e">
        <f t="shared" si="80"/>
        <v>#N/A</v>
      </c>
      <c r="P464" s="17">
        <f t="shared" si="85"/>
        <v>229</v>
      </c>
      <c r="Q464" s="19" t="e">
        <f t="shared" si="79"/>
        <v>#N/A</v>
      </c>
      <c r="R464" s="11" t="e">
        <f t="shared" si="81"/>
        <v>#N/A</v>
      </c>
      <c r="S464" s="19" t="e">
        <f t="shared" si="82"/>
        <v>#N/A</v>
      </c>
      <c r="T464" s="19" t="e">
        <f t="shared" si="83"/>
        <v>#N/A</v>
      </c>
      <c r="U464" s="19">
        <f t="shared" si="84"/>
        <v>83.804000000000016</v>
      </c>
    </row>
    <row r="465" spans="14:21" x14ac:dyDescent="0.25">
      <c r="N465" s="10">
        <v>229.5</v>
      </c>
      <c r="O465" s="17" t="e">
        <f t="shared" si="80"/>
        <v>#N/A</v>
      </c>
      <c r="P465" s="17">
        <f t="shared" si="85"/>
        <v>229.5</v>
      </c>
      <c r="Q465" s="19" t="e">
        <f t="shared" si="79"/>
        <v>#N/A</v>
      </c>
      <c r="R465" s="11" t="e">
        <f t="shared" si="81"/>
        <v>#N/A</v>
      </c>
      <c r="S465" s="19" t="e">
        <f t="shared" si="82"/>
        <v>#N/A</v>
      </c>
      <c r="T465" s="19" t="e">
        <f t="shared" si="83"/>
        <v>#N/A</v>
      </c>
      <c r="U465" s="19">
        <f t="shared" si="84"/>
        <v>83.804000000000016</v>
      </c>
    </row>
    <row r="466" spans="14:21" x14ac:dyDescent="0.25">
      <c r="N466" s="10">
        <v>230</v>
      </c>
      <c r="O466" s="17" t="e">
        <f t="shared" si="80"/>
        <v>#N/A</v>
      </c>
      <c r="P466" s="17">
        <f t="shared" si="85"/>
        <v>230</v>
      </c>
      <c r="Q466" s="19" t="e">
        <f t="shared" si="79"/>
        <v>#N/A</v>
      </c>
      <c r="R466" s="11" t="e">
        <f t="shared" si="81"/>
        <v>#N/A</v>
      </c>
      <c r="S466" s="19" t="e">
        <f t="shared" si="82"/>
        <v>#N/A</v>
      </c>
      <c r="T466" s="19" t="e">
        <f t="shared" si="83"/>
        <v>#N/A</v>
      </c>
      <c r="U466" s="19">
        <f t="shared" si="84"/>
        <v>83.804000000000016</v>
      </c>
    </row>
    <row r="467" spans="14:21" x14ac:dyDescent="0.25">
      <c r="N467" s="10">
        <v>230.5</v>
      </c>
      <c r="O467" s="17" t="e">
        <f t="shared" si="80"/>
        <v>#N/A</v>
      </c>
      <c r="P467" s="17">
        <f t="shared" si="85"/>
        <v>230.5</v>
      </c>
      <c r="Q467" s="19" t="e">
        <f t="shared" si="79"/>
        <v>#N/A</v>
      </c>
      <c r="R467" s="11" t="e">
        <f t="shared" si="81"/>
        <v>#N/A</v>
      </c>
      <c r="S467" s="19" t="e">
        <f t="shared" si="82"/>
        <v>#N/A</v>
      </c>
      <c r="T467" s="19" t="e">
        <f t="shared" si="83"/>
        <v>#N/A</v>
      </c>
      <c r="U467" s="19">
        <f t="shared" si="84"/>
        <v>83.804000000000016</v>
      </c>
    </row>
    <row r="468" spans="14:21" x14ac:dyDescent="0.25">
      <c r="N468" s="10">
        <v>231</v>
      </c>
      <c r="O468" s="17" t="e">
        <f t="shared" si="80"/>
        <v>#N/A</v>
      </c>
      <c r="P468" s="17">
        <f t="shared" si="85"/>
        <v>231</v>
      </c>
      <c r="Q468" s="19" t="e">
        <f t="shared" si="79"/>
        <v>#N/A</v>
      </c>
      <c r="R468" s="11" t="e">
        <f t="shared" si="81"/>
        <v>#N/A</v>
      </c>
      <c r="S468" s="19" t="e">
        <f t="shared" si="82"/>
        <v>#N/A</v>
      </c>
      <c r="T468" s="19" t="e">
        <f t="shared" si="83"/>
        <v>#N/A</v>
      </c>
      <c r="U468" s="19">
        <f t="shared" si="84"/>
        <v>83.804000000000016</v>
      </c>
    </row>
    <row r="469" spans="14:21" x14ac:dyDescent="0.25">
      <c r="N469" s="10">
        <v>231.5</v>
      </c>
      <c r="O469" s="17" t="e">
        <f t="shared" si="80"/>
        <v>#N/A</v>
      </c>
      <c r="P469" s="17">
        <f t="shared" si="85"/>
        <v>231.5</v>
      </c>
      <c r="Q469" s="19" t="e">
        <f t="shared" si="79"/>
        <v>#N/A</v>
      </c>
      <c r="R469" s="11" t="e">
        <f t="shared" si="81"/>
        <v>#N/A</v>
      </c>
      <c r="S469" s="19" t="e">
        <f t="shared" si="82"/>
        <v>#N/A</v>
      </c>
      <c r="T469" s="19" t="e">
        <f t="shared" si="83"/>
        <v>#N/A</v>
      </c>
      <c r="U469" s="19">
        <f t="shared" si="84"/>
        <v>83.804000000000016</v>
      </c>
    </row>
    <row r="470" spans="14:21" x14ac:dyDescent="0.25">
      <c r="N470" s="10">
        <v>232</v>
      </c>
      <c r="O470" s="17" t="e">
        <f t="shared" si="80"/>
        <v>#N/A</v>
      </c>
      <c r="P470" s="17">
        <f t="shared" si="85"/>
        <v>232</v>
      </c>
      <c r="Q470" s="19" t="e">
        <f t="shared" si="79"/>
        <v>#N/A</v>
      </c>
      <c r="R470" s="11" t="e">
        <f t="shared" si="81"/>
        <v>#N/A</v>
      </c>
      <c r="S470" s="19" t="e">
        <f t="shared" si="82"/>
        <v>#N/A</v>
      </c>
      <c r="T470" s="19" t="e">
        <f t="shared" si="83"/>
        <v>#N/A</v>
      </c>
      <c r="U470" s="19">
        <f t="shared" si="84"/>
        <v>83.804000000000016</v>
      </c>
    </row>
    <row r="471" spans="14:21" x14ac:dyDescent="0.25">
      <c r="N471" s="10">
        <v>232.5</v>
      </c>
      <c r="O471" s="17" t="e">
        <f t="shared" si="80"/>
        <v>#N/A</v>
      </c>
      <c r="P471" s="17">
        <f t="shared" si="85"/>
        <v>232.5</v>
      </c>
      <c r="Q471" s="19" t="e">
        <f t="shared" si="79"/>
        <v>#N/A</v>
      </c>
      <c r="R471" s="11" t="e">
        <f t="shared" si="81"/>
        <v>#N/A</v>
      </c>
      <c r="S471" s="19" t="e">
        <f t="shared" si="82"/>
        <v>#N/A</v>
      </c>
      <c r="T471" s="19" t="e">
        <f t="shared" si="83"/>
        <v>#N/A</v>
      </c>
      <c r="U471" s="19">
        <f t="shared" si="84"/>
        <v>83.804000000000016</v>
      </c>
    </row>
    <row r="472" spans="14:21" x14ac:dyDescent="0.25">
      <c r="N472" s="10">
        <v>233</v>
      </c>
      <c r="O472" s="17" t="e">
        <f t="shared" si="80"/>
        <v>#N/A</v>
      </c>
      <c r="P472" s="17">
        <f t="shared" si="85"/>
        <v>233</v>
      </c>
      <c r="Q472" s="19" t="e">
        <f t="shared" si="79"/>
        <v>#N/A</v>
      </c>
      <c r="R472" s="11" t="e">
        <f t="shared" si="81"/>
        <v>#N/A</v>
      </c>
      <c r="S472" s="19" t="e">
        <f t="shared" si="82"/>
        <v>#N/A</v>
      </c>
      <c r="T472" s="19" t="e">
        <f t="shared" si="83"/>
        <v>#N/A</v>
      </c>
      <c r="U472" s="19">
        <f t="shared" si="84"/>
        <v>83.804000000000016</v>
      </c>
    </row>
    <row r="473" spans="14:21" x14ac:dyDescent="0.25">
      <c r="N473" s="10">
        <v>233.5</v>
      </c>
      <c r="O473" s="17" t="e">
        <f t="shared" si="80"/>
        <v>#N/A</v>
      </c>
      <c r="P473" s="17">
        <f t="shared" si="85"/>
        <v>233.5</v>
      </c>
      <c r="Q473" s="19" t="e">
        <f t="shared" si="79"/>
        <v>#N/A</v>
      </c>
      <c r="R473" s="11" t="e">
        <f t="shared" si="81"/>
        <v>#N/A</v>
      </c>
      <c r="S473" s="19" t="e">
        <f t="shared" si="82"/>
        <v>#N/A</v>
      </c>
      <c r="T473" s="19" t="e">
        <f t="shared" si="83"/>
        <v>#N/A</v>
      </c>
      <c r="U473" s="19">
        <f t="shared" si="84"/>
        <v>83.804000000000016</v>
      </c>
    </row>
    <row r="474" spans="14:21" x14ac:dyDescent="0.25">
      <c r="N474" s="10">
        <v>234</v>
      </c>
      <c r="O474" s="17" t="e">
        <f t="shared" si="80"/>
        <v>#N/A</v>
      </c>
      <c r="P474" s="17">
        <f t="shared" si="85"/>
        <v>234</v>
      </c>
      <c r="Q474" s="19" t="e">
        <f t="shared" si="79"/>
        <v>#N/A</v>
      </c>
      <c r="R474" s="11" t="e">
        <f t="shared" si="81"/>
        <v>#N/A</v>
      </c>
      <c r="S474" s="19" t="e">
        <f t="shared" si="82"/>
        <v>#N/A</v>
      </c>
      <c r="T474" s="19" t="e">
        <f t="shared" si="83"/>
        <v>#N/A</v>
      </c>
      <c r="U474" s="19">
        <f t="shared" si="84"/>
        <v>83.804000000000016</v>
      </c>
    </row>
    <row r="475" spans="14:21" x14ac:dyDescent="0.25">
      <c r="N475" s="10">
        <v>234.5</v>
      </c>
      <c r="O475" s="17" t="e">
        <f t="shared" si="80"/>
        <v>#N/A</v>
      </c>
      <c r="P475" s="17">
        <f t="shared" si="85"/>
        <v>234.5</v>
      </c>
      <c r="Q475" s="19" t="e">
        <f t="shared" si="79"/>
        <v>#N/A</v>
      </c>
      <c r="R475" s="11" t="e">
        <f t="shared" si="81"/>
        <v>#N/A</v>
      </c>
      <c r="S475" s="19" t="e">
        <f t="shared" si="82"/>
        <v>#N/A</v>
      </c>
      <c r="T475" s="19" t="e">
        <f t="shared" si="83"/>
        <v>#N/A</v>
      </c>
      <c r="U475" s="19">
        <f t="shared" si="84"/>
        <v>83.804000000000016</v>
      </c>
    </row>
    <row r="476" spans="14:21" x14ac:dyDescent="0.25">
      <c r="N476" s="10">
        <v>235</v>
      </c>
      <c r="O476" s="17" t="e">
        <f t="shared" si="80"/>
        <v>#N/A</v>
      </c>
      <c r="P476" s="17">
        <f t="shared" si="85"/>
        <v>235</v>
      </c>
      <c r="Q476" s="19" t="e">
        <f t="shared" si="79"/>
        <v>#N/A</v>
      </c>
      <c r="R476" s="11" t="e">
        <f t="shared" si="81"/>
        <v>#N/A</v>
      </c>
      <c r="S476" s="19" t="e">
        <f t="shared" si="82"/>
        <v>#N/A</v>
      </c>
      <c r="T476" s="19" t="e">
        <f t="shared" si="83"/>
        <v>#N/A</v>
      </c>
      <c r="U476" s="19">
        <f t="shared" si="84"/>
        <v>83.804000000000016</v>
      </c>
    </row>
    <row r="477" spans="14:21" x14ac:dyDescent="0.25">
      <c r="N477" s="10">
        <v>235.5</v>
      </c>
      <c r="O477" s="17" t="e">
        <f t="shared" si="80"/>
        <v>#N/A</v>
      </c>
      <c r="P477" s="17">
        <f t="shared" si="85"/>
        <v>235.5</v>
      </c>
      <c r="Q477" s="19" t="e">
        <f t="shared" si="79"/>
        <v>#N/A</v>
      </c>
      <c r="R477" s="11" t="e">
        <f t="shared" si="81"/>
        <v>#N/A</v>
      </c>
      <c r="S477" s="19" t="e">
        <f t="shared" si="82"/>
        <v>#N/A</v>
      </c>
      <c r="T477" s="19" t="e">
        <f t="shared" si="83"/>
        <v>#N/A</v>
      </c>
      <c r="U477" s="19">
        <f t="shared" si="84"/>
        <v>83.804000000000016</v>
      </c>
    </row>
    <row r="478" spans="14:21" x14ac:dyDescent="0.25">
      <c r="N478" s="10">
        <v>236</v>
      </c>
      <c r="O478" s="17" t="e">
        <f t="shared" si="80"/>
        <v>#N/A</v>
      </c>
      <c r="P478" s="17">
        <f t="shared" si="85"/>
        <v>236</v>
      </c>
      <c r="Q478" s="19" t="e">
        <f t="shared" si="79"/>
        <v>#N/A</v>
      </c>
      <c r="R478" s="11" t="e">
        <f t="shared" si="81"/>
        <v>#N/A</v>
      </c>
      <c r="S478" s="19" t="e">
        <f t="shared" si="82"/>
        <v>#N/A</v>
      </c>
      <c r="T478" s="19" t="e">
        <f t="shared" si="83"/>
        <v>#N/A</v>
      </c>
      <c r="U478" s="19">
        <f t="shared" si="84"/>
        <v>83.804000000000016</v>
      </c>
    </row>
    <row r="479" spans="14:21" x14ac:dyDescent="0.25">
      <c r="N479" s="10">
        <v>236.5</v>
      </c>
      <c r="O479" s="17" t="e">
        <f t="shared" si="80"/>
        <v>#N/A</v>
      </c>
      <c r="P479" s="17">
        <f t="shared" si="85"/>
        <v>236.5</v>
      </c>
      <c r="Q479" s="19" t="e">
        <f t="shared" ref="Q479:Q542" si="86" xml:space="preserve"> -0.0232*O479^3 + 0.296*O479^2 + 12.396*O479 + 74.648</f>
        <v>#N/A</v>
      </c>
      <c r="R479" s="11" t="e">
        <f t="shared" si="81"/>
        <v>#N/A</v>
      </c>
      <c r="S479" s="19" t="e">
        <f t="shared" si="82"/>
        <v>#N/A</v>
      </c>
      <c r="T479" s="19" t="e">
        <f t="shared" si="83"/>
        <v>#N/A</v>
      </c>
      <c r="U479" s="19">
        <f t="shared" si="84"/>
        <v>83.804000000000016</v>
      </c>
    </row>
    <row r="480" spans="14:21" x14ac:dyDescent="0.25">
      <c r="N480" s="10">
        <v>237</v>
      </c>
      <c r="O480" s="17" t="e">
        <f t="shared" si="80"/>
        <v>#N/A</v>
      </c>
      <c r="P480" s="17">
        <f t="shared" si="85"/>
        <v>237</v>
      </c>
      <c r="Q480" s="19" t="e">
        <f t="shared" si="86"/>
        <v>#N/A</v>
      </c>
      <c r="R480" s="11" t="e">
        <f t="shared" si="81"/>
        <v>#N/A</v>
      </c>
      <c r="S480" s="19" t="e">
        <f t="shared" si="82"/>
        <v>#N/A</v>
      </c>
      <c r="T480" s="19" t="e">
        <f t="shared" si="83"/>
        <v>#N/A</v>
      </c>
      <c r="U480" s="19">
        <f t="shared" si="84"/>
        <v>83.804000000000016</v>
      </c>
    </row>
    <row r="481" spans="14:21" x14ac:dyDescent="0.25">
      <c r="N481" s="10">
        <v>237.5</v>
      </c>
      <c r="O481" s="17" t="e">
        <f t="shared" si="80"/>
        <v>#N/A</v>
      </c>
      <c r="P481" s="17">
        <f t="shared" si="85"/>
        <v>237.5</v>
      </c>
      <c r="Q481" s="19" t="e">
        <f t="shared" si="86"/>
        <v>#N/A</v>
      </c>
      <c r="R481" s="11" t="e">
        <f t="shared" si="81"/>
        <v>#N/A</v>
      </c>
      <c r="S481" s="19" t="e">
        <f t="shared" si="82"/>
        <v>#N/A</v>
      </c>
      <c r="T481" s="19" t="e">
        <f t="shared" si="83"/>
        <v>#N/A</v>
      </c>
      <c r="U481" s="19">
        <f t="shared" si="84"/>
        <v>83.804000000000016</v>
      </c>
    </row>
    <row r="482" spans="14:21" x14ac:dyDescent="0.25">
      <c r="N482" s="10">
        <v>238</v>
      </c>
      <c r="O482" s="17" t="e">
        <f t="shared" si="80"/>
        <v>#N/A</v>
      </c>
      <c r="P482" s="17">
        <f t="shared" si="85"/>
        <v>238</v>
      </c>
      <c r="Q482" s="19" t="e">
        <f t="shared" si="86"/>
        <v>#N/A</v>
      </c>
      <c r="R482" s="11" t="e">
        <f t="shared" si="81"/>
        <v>#N/A</v>
      </c>
      <c r="S482" s="19" t="e">
        <f t="shared" si="82"/>
        <v>#N/A</v>
      </c>
      <c r="T482" s="19" t="e">
        <f t="shared" si="83"/>
        <v>#N/A</v>
      </c>
      <c r="U482" s="19">
        <f t="shared" si="84"/>
        <v>83.804000000000016</v>
      </c>
    </row>
    <row r="483" spans="14:21" x14ac:dyDescent="0.25">
      <c r="N483" s="10">
        <v>238.5</v>
      </c>
      <c r="O483" s="17" t="e">
        <f t="shared" si="80"/>
        <v>#N/A</v>
      </c>
      <c r="P483" s="17">
        <f t="shared" si="85"/>
        <v>238.5</v>
      </c>
      <c r="Q483" s="19" t="e">
        <f t="shared" si="86"/>
        <v>#N/A</v>
      </c>
      <c r="R483" s="11" t="e">
        <f t="shared" si="81"/>
        <v>#N/A</v>
      </c>
      <c r="S483" s="19" t="e">
        <f t="shared" si="82"/>
        <v>#N/A</v>
      </c>
      <c r="T483" s="19" t="e">
        <f t="shared" si="83"/>
        <v>#N/A</v>
      </c>
      <c r="U483" s="19">
        <f t="shared" si="84"/>
        <v>83.804000000000016</v>
      </c>
    </row>
    <row r="484" spans="14:21" x14ac:dyDescent="0.25">
      <c r="N484" s="10">
        <v>239</v>
      </c>
      <c r="O484" s="17" t="e">
        <f t="shared" si="80"/>
        <v>#N/A</v>
      </c>
      <c r="P484" s="17">
        <f t="shared" si="85"/>
        <v>239</v>
      </c>
      <c r="Q484" s="19" t="e">
        <f t="shared" si="86"/>
        <v>#N/A</v>
      </c>
      <c r="R484" s="11" t="e">
        <f t="shared" si="81"/>
        <v>#N/A</v>
      </c>
      <c r="S484" s="19" t="e">
        <f t="shared" si="82"/>
        <v>#N/A</v>
      </c>
      <c r="T484" s="19" t="e">
        <f t="shared" si="83"/>
        <v>#N/A</v>
      </c>
      <c r="U484" s="19">
        <f t="shared" si="84"/>
        <v>83.804000000000016</v>
      </c>
    </row>
    <row r="485" spans="14:21" x14ac:dyDescent="0.25">
      <c r="N485" s="10">
        <v>239.5</v>
      </c>
      <c r="O485" s="17" t="e">
        <f t="shared" si="80"/>
        <v>#N/A</v>
      </c>
      <c r="P485" s="17">
        <f t="shared" si="85"/>
        <v>239.5</v>
      </c>
      <c r="Q485" s="19" t="e">
        <f t="shared" si="86"/>
        <v>#N/A</v>
      </c>
      <c r="R485" s="11" t="e">
        <f t="shared" si="81"/>
        <v>#N/A</v>
      </c>
      <c r="S485" s="19" t="e">
        <f t="shared" si="82"/>
        <v>#N/A</v>
      </c>
      <c r="T485" s="19" t="e">
        <f t="shared" si="83"/>
        <v>#N/A</v>
      </c>
      <c r="U485" s="19">
        <f t="shared" si="84"/>
        <v>83.804000000000016</v>
      </c>
    </row>
    <row r="486" spans="14:21" x14ac:dyDescent="0.25">
      <c r="N486" s="10">
        <v>240</v>
      </c>
      <c r="O486" s="17" t="e">
        <f t="shared" si="80"/>
        <v>#N/A</v>
      </c>
      <c r="P486" s="17">
        <f t="shared" si="85"/>
        <v>240</v>
      </c>
      <c r="Q486" s="19" t="e">
        <f t="shared" si="86"/>
        <v>#N/A</v>
      </c>
      <c r="R486" s="11" t="e">
        <f t="shared" si="81"/>
        <v>#N/A</v>
      </c>
      <c r="S486" s="19" t="e">
        <f t="shared" si="82"/>
        <v>#N/A</v>
      </c>
      <c r="T486" s="19" t="e">
        <f t="shared" si="83"/>
        <v>#N/A</v>
      </c>
      <c r="U486" s="19">
        <f t="shared" si="84"/>
        <v>83.804000000000016</v>
      </c>
    </row>
    <row r="487" spans="14:21" x14ac:dyDescent="0.25">
      <c r="N487" s="10">
        <v>240.5</v>
      </c>
      <c r="O487" s="17" t="e">
        <f t="shared" si="80"/>
        <v>#N/A</v>
      </c>
      <c r="P487" s="17">
        <f t="shared" si="85"/>
        <v>240.5</v>
      </c>
      <c r="Q487" s="19" t="e">
        <f t="shared" si="86"/>
        <v>#N/A</v>
      </c>
      <c r="R487" s="11" t="e">
        <f t="shared" si="81"/>
        <v>#N/A</v>
      </c>
      <c r="S487" s="19" t="e">
        <f t="shared" si="82"/>
        <v>#N/A</v>
      </c>
      <c r="T487" s="19" t="e">
        <f t="shared" si="83"/>
        <v>#N/A</v>
      </c>
      <c r="U487" s="19">
        <f t="shared" si="84"/>
        <v>83.804000000000016</v>
      </c>
    </row>
    <row r="488" spans="14:21" x14ac:dyDescent="0.25">
      <c r="N488" s="10">
        <v>241</v>
      </c>
      <c r="O488" s="17" t="e">
        <f t="shared" si="80"/>
        <v>#N/A</v>
      </c>
      <c r="P488" s="17">
        <f t="shared" si="85"/>
        <v>241</v>
      </c>
      <c r="Q488" s="19" t="e">
        <f t="shared" si="86"/>
        <v>#N/A</v>
      </c>
      <c r="R488" s="11" t="e">
        <f t="shared" si="81"/>
        <v>#N/A</v>
      </c>
      <c r="S488" s="19" t="e">
        <f t="shared" si="82"/>
        <v>#N/A</v>
      </c>
      <c r="T488" s="19" t="e">
        <f t="shared" si="83"/>
        <v>#N/A</v>
      </c>
      <c r="U488" s="19">
        <f t="shared" si="84"/>
        <v>83.804000000000016</v>
      </c>
    </row>
    <row r="489" spans="14:21" x14ac:dyDescent="0.25">
      <c r="N489" s="10">
        <v>241.5</v>
      </c>
      <c r="O489" s="17" t="e">
        <f t="shared" si="80"/>
        <v>#N/A</v>
      </c>
      <c r="P489" s="17">
        <f t="shared" si="85"/>
        <v>241.5</v>
      </c>
      <c r="Q489" s="19" t="e">
        <f t="shared" si="86"/>
        <v>#N/A</v>
      </c>
      <c r="R489" s="11" t="e">
        <f t="shared" si="81"/>
        <v>#N/A</v>
      </c>
      <c r="S489" s="19" t="e">
        <f t="shared" si="82"/>
        <v>#N/A</v>
      </c>
      <c r="T489" s="19" t="e">
        <f t="shared" si="83"/>
        <v>#N/A</v>
      </c>
      <c r="U489" s="19">
        <f t="shared" si="84"/>
        <v>83.804000000000016</v>
      </c>
    </row>
    <row r="490" spans="14:21" x14ac:dyDescent="0.25">
      <c r="N490" s="10">
        <v>242</v>
      </c>
      <c r="O490" s="17" t="e">
        <f t="shared" si="80"/>
        <v>#N/A</v>
      </c>
      <c r="P490" s="17">
        <f t="shared" si="85"/>
        <v>242</v>
      </c>
      <c r="Q490" s="19" t="e">
        <f t="shared" si="86"/>
        <v>#N/A</v>
      </c>
      <c r="R490" s="11" t="e">
        <f t="shared" si="81"/>
        <v>#N/A</v>
      </c>
      <c r="S490" s="19" t="e">
        <f t="shared" si="82"/>
        <v>#N/A</v>
      </c>
      <c r="T490" s="19" t="e">
        <f t="shared" si="83"/>
        <v>#N/A</v>
      </c>
      <c r="U490" s="19">
        <f t="shared" si="84"/>
        <v>83.804000000000016</v>
      </c>
    </row>
    <row r="491" spans="14:21" x14ac:dyDescent="0.25">
      <c r="N491" s="10">
        <v>242.5</v>
      </c>
      <c r="O491" s="17" t="e">
        <f t="shared" si="80"/>
        <v>#N/A</v>
      </c>
      <c r="P491" s="17">
        <f t="shared" si="85"/>
        <v>242.5</v>
      </c>
      <c r="Q491" s="19" t="e">
        <f t="shared" si="86"/>
        <v>#N/A</v>
      </c>
      <c r="R491" s="11" t="e">
        <f t="shared" si="81"/>
        <v>#N/A</v>
      </c>
      <c r="S491" s="19" t="e">
        <f t="shared" si="82"/>
        <v>#N/A</v>
      </c>
      <c r="T491" s="19" t="e">
        <f t="shared" si="83"/>
        <v>#N/A</v>
      </c>
      <c r="U491" s="19">
        <f t="shared" si="84"/>
        <v>83.804000000000016</v>
      </c>
    </row>
    <row r="492" spans="14:21" x14ac:dyDescent="0.25">
      <c r="N492" s="10">
        <v>243</v>
      </c>
      <c r="O492" s="17" t="e">
        <f t="shared" si="80"/>
        <v>#N/A</v>
      </c>
      <c r="P492" s="17">
        <f t="shared" si="85"/>
        <v>243</v>
      </c>
      <c r="Q492" s="19" t="e">
        <f t="shared" si="86"/>
        <v>#N/A</v>
      </c>
      <c r="R492" s="11" t="e">
        <f t="shared" si="81"/>
        <v>#N/A</v>
      </c>
      <c r="S492" s="19" t="e">
        <f t="shared" si="82"/>
        <v>#N/A</v>
      </c>
      <c r="T492" s="19" t="e">
        <f t="shared" si="83"/>
        <v>#N/A</v>
      </c>
      <c r="U492" s="19">
        <f t="shared" si="84"/>
        <v>83.804000000000016</v>
      </c>
    </row>
    <row r="493" spans="14:21" x14ac:dyDescent="0.25">
      <c r="N493" s="10">
        <v>243.5</v>
      </c>
      <c r="O493" s="17" t="e">
        <f t="shared" si="80"/>
        <v>#N/A</v>
      </c>
      <c r="P493" s="17">
        <f t="shared" si="85"/>
        <v>243.5</v>
      </c>
      <c r="Q493" s="19" t="e">
        <f t="shared" si="86"/>
        <v>#N/A</v>
      </c>
      <c r="R493" s="11" t="e">
        <f t="shared" si="81"/>
        <v>#N/A</v>
      </c>
      <c r="S493" s="19" t="e">
        <f t="shared" si="82"/>
        <v>#N/A</v>
      </c>
      <c r="T493" s="19" t="e">
        <f t="shared" si="83"/>
        <v>#N/A</v>
      </c>
      <c r="U493" s="19">
        <f t="shared" si="84"/>
        <v>83.804000000000016</v>
      </c>
    </row>
    <row r="494" spans="14:21" x14ac:dyDescent="0.25">
      <c r="N494" s="10">
        <v>244</v>
      </c>
      <c r="O494" s="17" t="e">
        <f t="shared" si="80"/>
        <v>#N/A</v>
      </c>
      <c r="P494" s="17">
        <f t="shared" si="85"/>
        <v>244</v>
      </c>
      <c r="Q494" s="19" t="e">
        <f t="shared" si="86"/>
        <v>#N/A</v>
      </c>
      <c r="R494" s="11" t="e">
        <f t="shared" si="81"/>
        <v>#N/A</v>
      </c>
      <c r="S494" s="19" t="e">
        <f t="shared" si="82"/>
        <v>#N/A</v>
      </c>
      <c r="T494" s="19" t="e">
        <f t="shared" si="83"/>
        <v>#N/A</v>
      </c>
      <c r="U494" s="19">
        <f t="shared" si="84"/>
        <v>83.804000000000016</v>
      </c>
    </row>
    <row r="495" spans="14:21" x14ac:dyDescent="0.25">
      <c r="N495" s="10">
        <v>244.5</v>
      </c>
      <c r="O495" s="17" t="e">
        <f t="shared" si="80"/>
        <v>#N/A</v>
      </c>
      <c r="P495" s="17">
        <f t="shared" si="85"/>
        <v>244.5</v>
      </c>
      <c r="Q495" s="19" t="e">
        <f t="shared" si="86"/>
        <v>#N/A</v>
      </c>
      <c r="R495" s="11" t="e">
        <f t="shared" si="81"/>
        <v>#N/A</v>
      </c>
      <c r="S495" s="19" t="e">
        <f t="shared" si="82"/>
        <v>#N/A</v>
      </c>
      <c r="T495" s="19" t="e">
        <f t="shared" si="83"/>
        <v>#N/A</v>
      </c>
      <c r="U495" s="19">
        <f t="shared" si="84"/>
        <v>83.804000000000016</v>
      </c>
    </row>
    <row r="496" spans="14:21" x14ac:dyDescent="0.25">
      <c r="N496" s="10">
        <v>245</v>
      </c>
      <c r="O496" s="17" t="e">
        <f t="shared" si="80"/>
        <v>#N/A</v>
      </c>
      <c r="P496" s="17">
        <f t="shared" si="85"/>
        <v>245</v>
      </c>
      <c r="Q496" s="19" t="e">
        <f t="shared" si="86"/>
        <v>#N/A</v>
      </c>
      <c r="R496" s="11" t="e">
        <f t="shared" si="81"/>
        <v>#N/A</v>
      </c>
      <c r="S496" s="19" t="e">
        <f t="shared" si="82"/>
        <v>#N/A</v>
      </c>
      <c r="T496" s="19" t="e">
        <f t="shared" si="83"/>
        <v>#N/A</v>
      </c>
      <c r="U496" s="19">
        <f t="shared" si="84"/>
        <v>83.804000000000016</v>
      </c>
    </row>
    <row r="497" spans="14:21" x14ac:dyDescent="0.25">
      <c r="N497" s="10">
        <v>245.5</v>
      </c>
      <c r="O497" s="17" t="e">
        <f t="shared" si="80"/>
        <v>#N/A</v>
      </c>
      <c r="P497" s="17">
        <f t="shared" si="85"/>
        <v>245.5</v>
      </c>
      <c r="Q497" s="19" t="e">
        <f t="shared" si="86"/>
        <v>#N/A</v>
      </c>
      <c r="R497" s="11" t="e">
        <f t="shared" si="81"/>
        <v>#N/A</v>
      </c>
      <c r="S497" s="19" t="e">
        <f t="shared" si="82"/>
        <v>#N/A</v>
      </c>
      <c r="T497" s="19" t="e">
        <f t="shared" si="83"/>
        <v>#N/A</v>
      </c>
      <c r="U497" s="19">
        <f t="shared" si="84"/>
        <v>83.804000000000016</v>
      </c>
    </row>
    <row r="498" spans="14:21" x14ac:dyDescent="0.25">
      <c r="N498" s="10">
        <v>246</v>
      </c>
      <c r="O498" s="17" t="e">
        <f t="shared" si="80"/>
        <v>#N/A</v>
      </c>
      <c r="P498" s="17">
        <f t="shared" si="85"/>
        <v>246</v>
      </c>
      <c r="Q498" s="19" t="e">
        <f t="shared" si="86"/>
        <v>#N/A</v>
      </c>
      <c r="R498" s="11" t="e">
        <f t="shared" si="81"/>
        <v>#N/A</v>
      </c>
      <c r="S498" s="19" t="e">
        <f t="shared" si="82"/>
        <v>#N/A</v>
      </c>
      <c r="T498" s="19" t="e">
        <f t="shared" si="83"/>
        <v>#N/A</v>
      </c>
      <c r="U498" s="19">
        <f t="shared" si="84"/>
        <v>83.804000000000016</v>
      </c>
    </row>
    <row r="499" spans="14:21" x14ac:dyDescent="0.25">
      <c r="N499" s="10">
        <v>246.5</v>
      </c>
      <c r="O499" s="17" t="e">
        <f t="shared" si="80"/>
        <v>#N/A</v>
      </c>
      <c r="P499" s="17">
        <f t="shared" si="85"/>
        <v>246.5</v>
      </c>
      <c r="Q499" s="19" t="e">
        <f t="shared" si="86"/>
        <v>#N/A</v>
      </c>
      <c r="R499" s="11" t="e">
        <f t="shared" si="81"/>
        <v>#N/A</v>
      </c>
      <c r="S499" s="19" t="e">
        <f t="shared" si="82"/>
        <v>#N/A</v>
      </c>
      <c r="T499" s="19" t="e">
        <f t="shared" si="83"/>
        <v>#N/A</v>
      </c>
      <c r="U499" s="19">
        <f t="shared" si="84"/>
        <v>83.804000000000016</v>
      </c>
    </row>
    <row r="500" spans="14:21" x14ac:dyDescent="0.25">
      <c r="N500" s="10">
        <v>247</v>
      </c>
      <c r="O500" s="17" t="e">
        <f t="shared" si="80"/>
        <v>#N/A</v>
      </c>
      <c r="P500" s="17">
        <f t="shared" si="85"/>
        <v>247</v>
      </c>
      <c r="Q500" s="19" t="e">
        <f t="shared" si="86"/>
        <v>#N/A</v>
      </c>
      <c r="R500" s="11" t="e">
        <f t="shared" si="81"/>
        <v>#N/A</v>
      </c>
      <c r="S500" s="19" t="e">
        <f t="shared" si="82"/>
        <v>#N/A</v>
      </c>
      <c r="T500" s="19" t="e">
        <f t="shared" si="83"/>
        <v>#N/A</v>
      </c>
      <c r="U500" s="19">
        <f t="shared" si="84"/>
        <v>83.804000000000016</v>
      </c>
    </row>
    <row r="501" spans="14:21" x14ac:dyDescent="0.25">
      <c r="N501" s="10">
        <v>247.5</v>
      </c>
      <c r="O501" s="17" t="e">
        <f t="shared" si="80"/>
        <v>#N/A</v>
      </c>
      <c r="P501" s="17">
        <f t="shared" si="85"/>
        <v>247.5</v>
      </c>
      <c r="Q501" s="19" t="e">
        <f t="shared" si="86"/>
        <v>#N/A</v>
      </c>
      <c r="R501" s="11" t="e">
        <f t="shared" si="81"/>
        <v>#N/A</v>
      </c>
      <c r="S501" s="19" t="e">
        <f t="shared" si="82"/>
        <v>#N/A</v>
      </c>
      <c r="T501" s="19" t="e">
        <f t="shared" si="83"/>
        <v>#N/A</v>
      </c>
      <c r="U501" s="19">
        <f t="shared" si="84"/>
        <v>83.804000000000016</v>
      </c>
    </row>
    <row r="502" spans="14:21" x14ac:dyDescent="0.25">
      <c r="N502" s="10">
        <v>248</v>
      </c>
      <c r="O502" s="17" t="e">
        <f t="shared" si="80"/>
        <v>#N/A</v>
      </c>
      <c r="P502" s="17">
        <f t="shared" si="85"/>
        <v>248</v>
      </c>
      <c r="Q502" s="19" t="e">
        <f t="shared" si="86"/>
        <v>#N/A</v>
      </c>
      <c r="R502" s="11" t="e">
        <f t="shared" si="81"/>
        <v>#N/A</v>
      </c>
      <c r="S502" s="19" t="e">
        <f t="shared" si="82"/>
        <v>#N/A</v>
      </c>
      <c r="T502" s="19" t="e">
        <f t="shared" si="83"/>
        <v>#N/A</v>
      </c>
      <c r="U502" s="19">
        <f t="shared" si="84"/>
        <v>83.804000000000016</v>
      </c>
    </row>
    <row r="503" spans="14:21" x14ac:dyDescent="0.25">
      <c r="N503" s="10">
        <v>248.5</v>
      </c>
      <c r="O503" s="17" t="e">
        <f t="shared" si="80"/>
        <v>#N/A</v>
      </c>
      <c r="P503" s="17">
        <f t="shared" si="85"/>
        <v>248.5</v>
      </c>
      <c r="Q503" s="19" t="e">
        <f t="shared" si="86"/>
        <v>#N/A</v>
      </c>
      <c r="R503" s="11" t="e">
        <f t="shared" si="81"/>
        <v>#N/A</v>
      </c>
      <c r="S503" s="19" t="e">
        <f t="shared" si="82"/>
        <v>#N/A</v>
      </c>
      <c r="T503" s="19" t="e">
        <f t="shared" si="83"/>
        <v>#N/A</v>
      </c>
      <c r="U503" s="19">
        <f t="shared" si="84"/>
        <v>83.804000000000016</v>
      </c>
    </row>
    <row r="504" spans="14:21" x14ac:dyDescent="0.25">
      <c r="N504" s="10">
        <v>249</v>
      </c>
      <c r="O504" s="17" t="e">
        <f t="shared" si="80"/>
        <v>#N/A</v>
      </c>
      <c r="P504" s="17">
        <f t="shared" si="85"/>
        <v>249</v>
      </c>
      <c r="Q504" s="19" t="e">
        <f t="shared" si="86"/>
        <v>#N/A</v>
      </c>
      <c r="R504" s="11" t="e">
        <f t="shared" si="81"/>
        <v>#N/A</v>
      </c>
      <c r="S504" s="19" t="e">
        <f t="shared" si="82"/>
        <v>#N/A</v>
      </c>
      <c r="T504" s="19" t="e">
        <f t="shared" si="83"/>
        <v>#N/A</v>
      </c>
      <c r="U504" s="19">
        <f t="shared" si="84"/>
        <v>83.804000000000016</v>
      </c>
    </row>
    <row r="505" spans="14:21" x14ac:dyDescent="0.25">
      <c r="N505" s="10">
        <v>249.5</v>
      </c>
      <c r="O505" s="17" t="e">
        <f t="shared" si="80"/>
        <v>#N/A</v>
      </c>
      <c r="P505" s="17">
        <f t="shared" si="85"/>
        <v>249.5</v>
      </c>
      <c r="Q505" s="19" t="e">
        <f t="shared" si="86"/>
        <v>#N/A</v>
      </c>
      <c r="R505" s="11" t="e">
        <f t="shared" si="81"/>
        <v>#N/A</v>
      </c>
      <c r="S505" s="19" t="e">
        <f t="shared" si="82"/>
        <v>#N/A</v>
      </c>
      <c r="T505" s="19" t="e">
        <f t="shared" si="83"/>
        <v>#N/A</v>
      </c>
      <c r="U505" s="19">
        <f t="shared" si="84"/>
        <v>83.804000000000016</v>
      </c>
    </row>
    <row r="506" spans="14:21" x14ac:dyDescent="0.25">
      <c r="N506" s="10">
        <v>250</v>
      </c>
      <c r="O506" s="17" t="e">
        <f t="shared" si="80"/>
        <v>#N/A</v>
      </c>
      <c r="P506" s="17">
        <f t="shared" si="85"/>
        <v>250</v>
      </c>
      <c r="Q506" s="19" t="e">
        <f t="shared" si="86"/>
        <v>#N/A</v>
      </c>
      <c r="R506" s="11" t="e">
        <f t="shared" si="81"/>
        <v>#N/A</v>
      </c>
      <c r="S506" s="19" t="e">
        <f t="shared" si="82"/>
        <v>#N/A</v>
      </c>
      <c r="T506" s="19" t="e">
        <f t="shared" si="83"/>
        <v>#N/A</v>
      </c>
      <c r="U506" s="19">
        <f t="shared" si="84"/>
        <v>83.804000000000016</v>
      </c>
    </row>
    <row r="507" spans="14:21" x14ac:dyDescent="0.25">
      <c r="N507" s="10">
        <v>250.5</v>
      </c>
      <c r="O507" s="17" t="e">
        <f t="shared" si="80"/>
        <v>#N/A</v>
      </c>
      <c r="P507" s="17">
        <f t="shared" si="85"/>
        <v>250.5</v>
      </c>
      <c r="Q507" s="19" t="e">
        <f t="shared" si="86"/>
        <v>#N/A</v>
      </c>
      <c r="R507" s="11" t="e">
        <f t="shared" si="81"/>
        <v>#N/A</v>
      </c>
      <c r="S507" s="19" t="e">
        <f t="shared" si="82"/>
        <v>#N/A</v>
      </c>
      <c r="T507" s="19" t="e">
        <f t="shared" si="83"/>
        <v>#N/A</v>
      </c>
      <c r="U507" s="19">
        <f t="shared" si="84"/>
        <v>83.804000000000016</v>
      </c>
    </row>
    <row r="508" spans="14:21" x14ac:dyDescent="0.25">
      <c r="N508" s="10">
        <v>251</v>
      </c>
      <c r="O508" s="17" t="e">
        <f t="shared" si="80"/>
        <v>#N/A</v>
      </c>
      <c r="P508" s="17">
        <f t="shared" si="85"/>
        <v>251</v>
      </c>
      <c r="Q508" s="19" t="e">
        <f t="shared" si="86"/>
        <v>#N/A</v>
      </c>
      <c r="R508" s="11" t="e">
        <f t="shared" si="81"/>
        <v>#N/A</v>
      </c>
      <c r="S508" s="19" t="e">
        <f t="shared" si="82"/>
        <v>#N/A</v>
      </c>
      <c r="T508" s="19" t="e">
        <f t="shared" si="83"/>
        <v>#N/A</v>
      </c>
      <c r="U508" s="19">
        <f t="shared" si="84"/>
        <v>83.804000000000016</v>
      </c>
    </row>
    <row r="509" spans="14:21" x14ac:dyDescent="0.25">
      <c r="N509" s="10">
        <v>251.5</v>
      </c>
      <c r="O509" s="17" t="e">
        <f t="shared" si="80"/>
        <v>#N/A</v>
      </c>
      <c r="P509" s="17">
        <f t="shared" si="85"/>
        <v>251.5</v>
      </c>
      <c r="Q509" s="19" t="e">
        <f t="shared" si="86"/>
        <v>#N/A</v>
      </c>
      <c r="R509" s="11" t="e">
        <f t="shared" si="81"/>
        <v>#N/A</v>
      </c>
      <c r="S509" s="19" t="e">
        <f t="shared" si="82"/>
        <v>#N/A</v>
      </c>
      <c r="T509" s="19" t="e">
        <f t="shared" si="83"/>
        <v>#N/A</v>
      </c>
      <c r="U509" s="19">
        <f t="shared" si="84"/>
        <v>83.804000000000016</v>
      </c>
    </row>
    <row r="510" spans="14:21" x14ac:dyDescent="0.25">
      <c r="N510" s="10">
        <v>252</v>
      </c>
      <c r="O510" s="17" t="e">
        <f t="shared" si="80"/>
        <v>#N/A</v>
      </c>
      <c r="P510" s="17">
        <f t="shared" si="85"/>
        <v>252</v>
      </c>
      <c r="Q510" s="19" t="e">
        <f t="shared" si="86"/>
        <v>#N/A</v>
      </c>
      <c r="R510" s="11" t="e">
        <f t="shared" si="81"/>
        <v>#N/A</v>
      </c>
      <c r="S510" s="19" t="e">
        <f t="shared" si="82"/>
        <v>#N/A</v>
      </c>
      <c r="T510" s="19" t="e">
        <f t="shared" si="83"/>
        <v>#N/A</v>
      </c>
      <c r="U510" s="19">
        <f t="shared" si="84"/>
        <v>83.804000000000016</v>
      </c>
    </row>
    <row r="511" spans="14:21" x14ac:dyDescent="0.25">
      <c r="N511" s="10">
        <v>252.5</v>
      </c>
      <c r="O511" s="17" t="e">
        <f t="shared" si="80"/>
        <v>#N/A</v>
      </c>
      <c r="P511" s="17">
        <f t="shared" si="85"/>
        <v>252.5</v>
      </c>
      <c r="Q511" s="19" t="e">
        <f t="shared" si="86"/>
        <v>#N/A</v>
      </c>
      <c r="R511" s="11" t="e">
        <f t="shared" si="81"/>
        <v>#N/A</v>
      </c>
      <c r="S511" s="19" t="e">
        <f t="shared" si="82"/>
        <v>#N/A</v>
      </c>
      <c r="T511" s="19" t="e">
        <f t="shared" si="83"/>
        <v>#N/A</v>
      </c>
      <c r="U511" s="19">
        <f t="shared" si="84"/>
        <v>83.804000000000016</v>
      </c>
    </row>
    <row r="512" spans="14:21" x14ac:dyDescent="0.25">
      <c r="N512" s="10">
        <v>253</v>
      </c>
      <c r="O512" s="17" t="e">
        <f t="shared" si="80"/>
        <v>#N/A</v>
      </c>
      <c r="P512" s="17">
        <f t="shared" si="85"/>
        <v>253</v>
      </c>
      <c r="Q512" s="19" t="e">
        <f t="shared" si="86"/>
        <v>#N/A</v>
      </c>
      <c r="R512" s="11" t="e">
        <f t="shared" si="81"/>
        <v>#N/A</v>
      </c>
      <c r="S512" s="19" t="e">
        <f t="shared" si="82"/>
        <v>#N/A</v>
      </c>
      <c r="T512" s="19" t="e">
        <f t="shared" si="83"/>
        <v>#N/A</v>
      </c>
      <c r="U512" s="19">
        <f t="shared" si="84"/>
        <v>83.804000000000016</v>
      </c>
    </row>
    <row r="513" spans="14:21" x14ac:dyDescent="0.25">
      <c r="N513" s="10">
        <v>253.5</v>
      </c>
      <c r="O513" s="17" t="e">
        <f t="shared" si="80"/>
        <v>#N/A</v>
      </c>
      <c r="P513" s="17">
        <f t="shared" si="85"/>
        <v>253.5</v>
      </c>
      <c r="Q513" s="19" t="e">
        <f t="shared" si="86"/>
        <v>#N/A</v>
      </c>
      <c r="R513" s="11" t="e">
        <f t="shared" si="81"/>
        <v>#N/A</v>
      </c>
      <c r="S513" s="19" t="e">
        <f t="shared" si="82"/>
        <v>#N/A</v>
      </c>
      <c r="T513" s="19" t="e">
        <f t="shared" si="83"/>
        <v>#N/A</v>
      </c>
      <c r="U513" s="19">
        <f t="shared" si="84"/>
        <v>83.804000000000016</v>
      </c>
    </row>
    <row r="514" spans="14:21" x14ac:dyDescent="0.25">
      <c r="N514" s="10">
        <v>254</v>
      </c>
      <c r="O514" s="17" t="e">
        <f t="shared" si="80"/>
        <v>#N/A</v>
      </c>
      <c r="P514" s="17">
        <f t="shared" si="85"/>
        <v>254</v>
      </c>
      <c r="Q514" s="19" t="e">
        <f t="shared" si="86"/>
        <v>#N/A</v>
      </c>
      <c r="R514" s="11" t="e">
        <f t="shared" si="81"/>
        <v>#N/A</v>
      </c>
      <c r="S514" s="19" t="e">
        <f t="shared" si="82"/>
        <v>#N/A</v>
      </c>
      <c r="T514" s="19" t="e">
        <f t="shared" si="83"/>
        <v>#N/A</v>
      </c>
      <c r="U514" s="19">
        <f t="shared" si="84"/>
        <v>83.804000000000016</v>
      </c>
    </row>
    <row r="515" spans="14:21" x14ac:dyDescent="0.25">
      <c r="N515" s="10">
        <v>254.5</v>
      </c>
      <c r="O515" s="17" t="e">
        <f t="shared" si="80"/>
        <v>#N/A</v>
      </c>
      <c r="P515" s="17">
        <f t="shared" si="85"/>
        <v>254.5</v>
      </c>
      <c r="Q515" s="19" t="e">
        <f t="shared" si="86"/>
        <v>#N/A</v>
      </c>
      <c r="R515" s="11" t="e">
        <f t="shared" si="81"/>
        <v>#N/A</v>
      </c>
      <c r="S515" s="19" t="e">
        <f t="shared" si="82"/>
        <v>#N/A</v>
      </c>
      <c r="T515" s="19" t="e">
        <f t="shared" si="83"/>
        <v>#N/A</v>
      </c>
      <c r="U515" s="19">
        <f t="shared" si="84"/>
        <v>83.804000000000016</v>
      </c>
    </row>
    <row r="516" spans="14:21" x14ac:dyDescent="0.25">
      <c r="N516" s="10">
        <v>255</v>
      </c>
      <c r="O516" s="17" t="e">
        <f t="shared" si="80"/>
        <v>#N/A</v>
      </c>
      <c r="P516" s="17">
        <f t="shared" si="85"/>
        <v>255</v>
      </c>
      <c r="Q516" s="19" t="e">
        <f t="shared" si="86"/>
        <v>#N/A</v>
      </c>
      <c r="R516" s="11" t="e">
        <f t="shared" si="81"/>
        <v>#N/A</v>
      </c>
      <c r="S516" s="19" t="e">
        <f t="shared" si="82"/>
        <v>#N/A</v>
      </c>
      <c r="T516" s="19" t="e">
        <f t="shared" si="83"/>
        <v>#N/A</v>
      </c>
      <c r="U516" s="19">
        <f t="shared" si="84"/>
        <v>83.804000000000016</v>
      </c>
    </row>
    <row r="517" spans="14:21" x14ac:dyDescent="0.25">
      <c r="N517" s="10">
        <v>255.5</v>
      </c>
      <c r="O517" s="17" t="e">
        <f t="shared" si="80"/>
        <v>#N/A</v>
      </c>
      <c r="P517" s="17">
        <f t="shared" si="85"/>
        <v>255.5</v>
      </c>
      <c r="Q517" s="19" t="e">
        <f t="shared" si="86"/>
        <v>#N/A</v>
      </c>
      <c r="R517" s="11" t="e">
        <f t="shared" si="81"/>
        <v>#N/A</v>
      </c>
      <c r="S517" s="19" t="e">
        <f t="shared" si="82"/>
        <v>#N/A</v>
      </c>
      <c r="T517" s="19" t="e">
        <f t="shared" si="83"/>
        <v>#N/A</v>
      </c>
      <c r="U517" s="19">
        <f t="shared" si="84"/>
        <v>83.804000000000016</v>
      </c>
    </row>
    <row r="518" spans="14:21" x14ac:dyDescent="0.25">
      <c r="N518" s="10">
        <v>256</v>
      </c>
      <c r="O518" s="17" t="e">
        <f t="shared" ref="O518:O581" si="87">IF(N518=0,$B$5,IF(N518&gt;$B$9,NA(),-($B$6-$B$5)*(1-(N518/$B$9))^(0.985*((N518/$B$9)^(-0.625)))+$B$6))</f>
        <v>#N/A</v>
      </c>
      <c r="P518" s="17">
        <f t="shared" si="85"/>
        <v>256</v>
      </c>
      <c r="Q518" s="19" t="e">
        <f t="shared" si="86"/>
        <v>#N/A</v>
      </c>
      <c r="R518" s="11" t="e">
        <f t="shared" ref="R518:R581" si="88">$B$13*($B$8-O518)</f>
        <v>#N/A</v>
      </c>
      <c r="S518" s="19" t="e">
        <f t="shared" ref="S518:S581" si="89">R518*$B$20</f>
        <v>#N/A</v>
      </c>
      <c r="T518" s="19" t="e">
        <f t="shared" ref="T518:T581" si="90">R518*$B$20</f>
        <v>#N/A</v>
      </c>
      <c r="U518" s="19">
        <f t="shared" ref="U518:U581" si="91">$B$21/2</f>
        <v>83.804000000000016</v>
      </c>
    </row>
    <row r="519" spans="14:21" x14ac:dyDescent="0.25">
      <c r="N519" s="10">
        <v>256.5</v>
      </c>
      <c r="O519" s="17" t="e">
        <f t="shared" si="87"/>
        <v>#N/A</v>
      </c>
      <c r="P519" s="17">
        <f t="shared" ref="P519:P582" si="92">N519</f>
        <v>256.5</v>
      </c>
      <c r="Q519" s="19" t="e">
        <f t="shared" si="86"/>
        <v>#N/A</v>
      </c>
      <c r="R519" s="11" t="e">
        <f t="shared" si="88"/>
        <v>#N/A</v>
      </c>
      <c r="S519" s="19" t="e">
        <f t="shared" si="89"/>
        <v>#N/A</v>
      </c>
      <c r="T519" s="19" t="e">
        <f t="shared" si="90"/>
        <v>#N/A</v>
      </c>
      <c r="U519" s="19">
        <f t="shared" si="91"/>
        <v>83.804000000000016</v>
      </c>
    </row>
    <row r="520" spans="14:21" x14ac:dyDescent="0.25">
      <c r="N520" s="10">
        <v>257</v>
      </c>
      <c r="O520" s="17" t="e">
        <f t="shared" si="87"/>
        <v>#N/A</v>
      </c>
      <c r="P520" s="17">
        <f t="shared" si="92"/>
        <v>257</v>
      </c>
      <c r="Q520" s="19" t="e">
        <f t="shared" si="86"/>
        <v>#N/A</v>
      </c>
      <c r="R520" s="11" t="e">
        <f t="shared" si="88"/>
        <v>#N/A</v>
      </c>
      <c r="S520" s="19" t="e">
        <f t="shared" si="89"/>
        <v>#N/A</v>
      </c>
      <c r="T520" s="19" t="e">
        <f t="shared" si="90"/>
        <v>#N/A</v>
      </c>
      <c r="U520" s="19">
        <f t="shared" si="91"/>
        <v>83.804000000000016</v>
      </c>
    </row>
    <row r="521" spans="14:21" x14ac:dyDescent="0.25">
      <c r="N521" s="10">
        <v>257.5</v>
      </c>
      <c r="O521" s="17" t="e">
        <f t="shared" si="87"/>
        <v>#N/A</v>
      </c>
      <c r="P521" s="17">
        <f t="shared" si="92"/>
        <v>257.5</v>
      </c>
      <c r="Q521" s="19" t="e">
        <f t="shared" si="86"/>
        <v>#N/A</v>
      </c>
      <c r="R521" s="11" t="e">
        <f t="shared" si="88"/>
        <v>#N/A</v>
      </c>
      <c r="S521" s="19" t="e">
        <f t="shared" si="89"/>
        <v>#N/A</v>
      </c>
      <c r="T521" s="19" t="e">
        <f t="shared" si="90"/>
        <v>#N/A</v>
      </c>
      <c r="U521" s="19">
        <f t="shared" si="91"/>
        <v>83.804000000000016</v>
      </c>
    </row>
    <row r="522" spans="14:21" x14ac:dyDescent="0.25">
      <c r="N522" s="10">
        <v>258</v>
      </c>
      <c r="O522" s="17" t="e">
        <f t="shared" si="87"/>
        <v>#N/A</v>
      </c>
      <c r="P522" s="17">
        <f t="shared" si="92"/>
        <v>258</v>
      </c>
      <c r="Q522" s="19" t="e">
        <f t="shared" si="86"/>
        <v>#N/A</v>
      </c>
      <c r="R522" s="11" t="e">
        <f t="shared" si="88"/>
        <v>#N/A</v>
      </c>
      <c r="S522" s="19" t="e">
        <f t="shared" si="89"/>
        <v>#N/A</v>
      </c>
      <c r="T522" s="19" t="e">
        <f t="shared" si="90"/>
        <v>#N/A</v>
      </c>
      <c r="U522" s="19">
        <f t="shared" si="91"/>
        <v>83.804000000000016</v>
      </c>
    </row>
    <row r="523" spans="14:21" x14ac:dyDescent="0.25">
      <c r="N523" s="10">
        <v>258.5</v>
      </c>
      <c r="O523" s="17" t="e">
        <f t="shared" si="87"/>
        <v>#N/A</v>
      </c>
      <c r="P523" s="17">
        <f t="shared" si="92"/>
        <v>258.5</v>
      </c>
      <c r="Q523" s="19" t="e">
        <f t="shared" si="86"/>
        <v>#N/A</v>
      </c>
      <c r="R523" s="11" t="e">
        <f t="shared" si="88"/>
        <v>#N/A</v>
      </c>
      <c r="S523" s="19" t="e">
        <f t="shared" si="89"/>
        <v>#N/A</v>
      </c>
      <c r="T523" s="19" t="e">
        <f t="shared" si="90"/>
        <v>#N/A</v>
      </c>
      <c r="U523" s="19">
        <f t="shared" si="91"/>
        <v>83.804000000000016</v>
      </c>
    </row>
    <row r="524" spans="14:21" x14ac:dyDescent="0.25">
      <c r="N524" s="10">
        <v>259</v>
      </c>
      <c r="O524" s="17" t="e">
        <f t="shared" si="87"/>
        <v>#N/A</v>
      </c>
      <c r="P524" s="17">
        <f t="shared" si="92"/>
        <v>259</v>
      </c>
      <c r="Q524" s="19" t="e">
        <f t="shared" si="86"/>
        <v>#N/A</v>
      </c>
      <c r="R524" s="11" t="e">
        <f t="shared" si="88"/>
        <v>#N/A</v>
      </c>
      <c r="S524" s="19" t="e">
        <f t="shared" si="89"/>
        <v>#N/A</v>
      </c>
      <c r="T524" s="19" t="e">
        <f t="shared" si="90"/>
        <v>#N/A</v>
      </c>
      <c r="U524" s="19">
        <f t="shared" si="91"/>
        <v>83.804000000000016</v>
      </c>
    </row>
    <row r="525" spans="14:21" x14ac:dyDescent="0.25">
      <c r="N525" s="10">
        <v>259.5</v>
      </c>
      <c r="O525" s="17" t="e">
        <f t="shared" si="87"/>
        <v>#N/A</v>
      </c>
      <c r="P525" s="17">
        <f t="shared" si="92"/>
        <v>259.5</v>
      </c>
      <c r="Q525" s="19" t="e">
        <f t="shared" si="86"/>
        <v>#N/A</v>
      </c>
      <c r="R525" s="11" t="e">
        <f t="shared" si="88"/>
        <v>#N/A</v>
      </c>
      <c r="S525" s="19" t="e">
        <f t="shared" si="89"/>
        <v>#N/A</v>
      </c>
      <c r="T525" s="19" t="e">
        <f t="shared" si="90"/>
        <v>#N/A</v>
      </c>
      <c r="U525" s="19">
        <f t="shared" si="91"/>
        <v>83.804000000000016</v>
      </c>
    </row>
    <row r="526" spans="14:21" x14ac:dyDescent="0.25">
      <c r="N526" s="10">
        <v>260</v>
      </c>
      <c r="O526" s="17" t="e">
        <f t="shared" si="87"/>
        <v>#N/A</v>
      </c>
      <c r="P526" s="17">
        <f t="shared" si="92"/>
        <v>260</v>
      </c>
      <c r="Q526" s="19" t="e">
        <f t="shared" si="86"/>
        <v>#N/A</v>
      </c>
      <c r="R526" s="11" t="e">
        <f t="shared" si="88"/>
        <v>#N/A</v>
      </c>
      <c r="S526" s="19" t="e">
        <f t="shared" si="89"/>
        <v>#N/A</v>
      </c>
      <c r="T526" s="19" t="e">
        <f t="shared" si="90"/>
        <v>#N/A</v>
      </c>
      <c r="U526" s="19">
        <f t="shared" si="91"/>
        <v>83.804000000000016</v>
      </c>
    </row>
    <row r="527" spans="14:21" x14ac:dyDescent="0.25">
      <c r="N527" s="10">
        <v>260.5</v>
      </c>
      <c r="O527" s="17" t="e">
        <f t="shared" si="87"/>
        <v>#N/A</v>
      </c>
      <c r="P527" s="17">
        <f t="shared" si="92"/>
        <v>260.5</v>
      </c>
      <c r="Q527" s="19" t="e">
        <f t="shared" si="86"/>
        <v>#N/A</v>
      </c>
      <c r="R527" s="11" t="e">
        <f t="shared" si="88"/>
        <v>#N/A</v>
      </c>
      <c r="S527" s="19" t="e">
        <f t="shared" si="89"/>
        <v>#N/A</v>
      </c>
      <c r="T527" s="19" t="e">
        <f t="shared" si="90"/>
        <v>#N/A</v>
      </c>
      <c r="U527" s="19">
        <f t="shared" si="91"/>
        <v>83.804000000000016</v>
      </c>
    </row>
    <row r="528" spans="14:21" x14ac:dyDescent="0.25">
      <c r="N528" s="10">
        <v>261</v>
      </c>
      <c r="O528" s="17" t="e">
        <f t="shared" si="87"/>
        <v>#N/A</v>
      </c>
      <c r="P528" s="17">
        <f t="shared" si="92"/>
        <v>261</v>
      </c>
      <c r="Q528" s="19" t="e">
        <f t="shared" si="86"/>
        <v>#N/A</v>
      </c>
      <c r="R528" s="11" t="e">
        <f t="shared" si="88"/>
        <v>#N/A</v>
      </c>
      <c r="S528" s="19" t="e">
        <f t="shared" si="89"/>
        <v>#N/A</v>
      </c>
      <c r="T528" s="19" t="e">
        <f t="shared" si="90"/>
        <v>#N/A</v>
      </c>
      <c r="U528" s="19">
        <f t="shared" si="91"/>
        <v>83.804000000000016</v>
      </c>
    </row>
    <row r="529" spans="14:21" x14ac:dyDescent="0.25">
      <c r="N529" s="10">
        <v>261.5</v>
      </c>
      <c r="O529" s="17" t="e">
        <f t="shared" si="87"/>
        <v>#N/A</v>
      </c>
      <c r="P529" s="17">
        <f t="shared" si="92"/>
        <v>261.5</v>
      </c>
      <c r="Q529" s="19" t="e">
        <f t="shared" si="86"/>
        <v>#N/A</v>
      </c>
      <c r="R529" s="11" t="e">
        <f t="shared" si="88"/>
        <v>#N/A</v>
      </c>
      <c r="S529" s="19" t="e">
        <f t="shared" si="89"/>
        <v>#N/A</v>
      </c>
      <c r="T529" s="19" t="e">
        <f t="shared" si="90"/>
        <v>#N/A</v>
      </c>
      <c r="U529" s="19">
        <f t="shared" si="91"/>
        <v>83.804000000000016</v>
      </c>
    </row>
    <row r="530" spans="14:21" x14ac:dyDescent="0.25">
      <c r="N530" s="10">
        <v>262</v>
      </c>
      <c r="O530" s="17" t="e">
        <f t="shared" si="87"/>
        <v>#N/A</v>
      </c>
      <c r="P530" s="17">
        <f t="shared" si="92"/>
        <v>262</v>
      </c>
      <c r="Q530" s="19" t="e">
        <f t="shared" si="86"/>
        <v>#N/A</v>
      </c>
      <c r="R530" s="11" t="e">
        <f t="shared" si="88"/>
        <v>#N/A</v>
      </c>
      <c r="S530" s="19" t="e">
        <f t="shared" si="89"/>
        <v>#N/A</v>
      </c>
      <c r="T530" s="19" t="e">
        <f t="shared" si="90"/>
        <v>#N/A</v>
      </c>
      <c r="U530" s="19">
        <f t="shared" si="91"/>
        <v>83.804000000000016</v>
      </c>
    </row>
    <row r="531" spans="14:21" x14ac:dyDescent="0.25">
      <c r="N531" s="10">
        <v>262.5</v>
      </c>
      <c r="O531" s="17" t="e">
        <f t="shared" si="87"/>
        <v>#N/A</v>
      </c>
      <c r="P531" s="17">
        <f t="shared" si="92"/>
        <v>262.5</v>
      </c>
      <c r="Q531" s="19" t="e">
        <f t="shared" si="86"/>
        <v>#N/A</v>
      </c>
      <c r="R531" s="11" t="e">
        <f t="shared" si="88"/>
        <v>#N/A</v>
      </c>
      <c r="S531" s="19" t="e">
        <f t="shared" si="89"/>
        <v>#N/A</v>
      </c>
      <c r="T531" s="19" t="e">
        <f t="shared" si="90"/>
        <v>#N/A</v>
      </c>
      <c r="U531" s="19">
        <f t="shared" si="91"/>
        <v>83.804000000000016</v>
      </c>
    </row>
    <row r="532" spans="14:21" x14ac:dyDescent="0.25">
      <c r="N532" s="10">
        <v>263</v>
      </c>
      <c r="O532" s="17" t="e">
        <f t="shared" si="87"/>
        <v>#N/A</v>
      </c>
      <c r="P532" s="17">
        <f t="shared" si="92"/>
        <v>263</v>
      </c>
      <c r="Q532" s="19" t="e">
        <f t="shared" si="86"/>
        <v>#N/A</v>
      </c>
      <c r="R532" s="11" t="e">
        <f t="shared" si="88"/>
        <v>#N/A</v>
      </c>
      <c r="S532" s="19" t="e">
        <f t="shared" si="89"/>
        <v>#N/A</v>
      </c>
      <c r="T532" s="19" t="e">
        <f t="shared" si="90"/>
        <v>#N/A</v>
      </c>
      <c r="U532" s="19">
        <f t="shared" si="91"/>
        <v>83.804000000000016</v>
      </c>
    </row>
    <row r="533" spans="14:21" x14ac:dyDescent="0.25">
      <c r="N533" s="10">
        <v>263.5</v>
      </c>
      <c r="O533" s="17" t="e">
        <f t="shared" si="87"/>
        <v>#N/A</v>
      </c>
      <c r="P533" s="17">
        <f t="shared" si="92"/>
        <v>263.5</v>
      </c>
      <c r="Q533" s="19" t="e">
        <f t="shared" si="86"/>
        <v>#N/A</v>
      </c>
      <c r="R533" s="11" t="e">
        <f t="shared" si="88"/>
        <v>#N/A</v>
      </c>
      <c r="S533" s="19" t="e">
        <f t="shared" si="89"/>
        <v>#N/A</v>
      </c>
      <c r="T533" s="19" t="e">
        <f t="shared" si="90"/>
        <v>#N/A</v>
      </c>
      <c r="U533" s="19">
        <f t="shared" si="91"/>
        <v>83.804000000000016</v>
      </c>
    </row>
    <row r="534" spans="14:21" x14ac:dyDescent="0.25">
      <c r="N534" s="10">
        <v>264</v>
      </c>
      <c r="O534" s="17" t="e">
        <f t="shared" si="87"/>
        <v>#N/A</v>
      </c>
      <c r="P534" s="17">
        <f t="shared" si="92"/>
        <v>264</v>
      </c>
      <c r="Q534" s="19" t="e">
        <f t="shared" si="86"/>
        <v>#N/A</v>
      </c>
      <c r="R534" s="11" t="e">
        <f t="shared" si="88"/>
        <v>#N/A</v>
      </c>
      <c r="S534" s="19" t="e">
        <f t="shared" si="89"/>
        <v>#N/A</v>
      </c>
      <c r="T534" s="19" t="e">
        <f t="shared" si="90"/>
        <v>#N/A</v>
      </c>
      <c r="U534" s="19">
        <f t="shared" si="91"/>
        <v>83.804000000000016</v>
      </c>
    </row>
    <row r="535" spans="14:21" x14ac:dyDescent="0.25">
      <c r="N535" s="10">
        <v>264.5</v>
      </c>
      <c r="O535" s="17" t="e">
        <f t="shared" si="87"/>
        <v>#N/A</v>
      </c>
      <c r="P535" s="17">
        <f t="shared" si="92"/>
        <v>264.5</v>
      </c>
      <c r="Q535" s="19" t="e">
        <f t="shared" si="86"/>
        <v>#N/A</v>
      </c>
      <c r="R535" s="11" t="e">
        <f t="shared" si="88"/>
        <v>#N/A</v>
      </c>
      <c r="S535" s="19" t="e">
        <f t="shared" si="89"/>
        <v>#N/A</v>
      </c>
      <c r="T535" s="19" t="e">
        <f t="shared" si="90"/>
        <v>#N/A</v>
      </c>
      <c r="U535" s="19">
        <f t="shared" si="91"/>
        <v>83.804000000000016</v>
      </c>
    </row>
    <row r="536" spans="14:21" x14ac:dyDescent="0.25">
      <c r="N536" s="10">
        <v>265</v>
      </c>
      <c r="O536" s="17" t="e">
        <f t="shared" si="87"/>
        <v>#N/A</v>
      </c>
      <c r="P536" s="17">
        <f t="shared" si="92"/>
        <v>265</v>
      </c>
      <c r="Q536" s="19" t="e">
        <f t="shared" si="86"/>
        <v>#N/A</v>
      </c>
      <c r="R536" s="11" t="e">
        <f t="shared" si="88"/>
        <v>#N/A</v>
      </c>
      <c r="S536" s="19" t="e">
        <f t="shared" si="89"/>
        <v>#N/A</v>
      </c>
      <c r="T536" s="19" t="e">
        <f t="shared" si="90"/>
        <v>#N/A</v>
      </c>
      <c r="U536" s="19">
        <f t="shared" si="91"/>
        <v>83.804000000000016</v>
      </c>
    </row>
    <row r="537" spans="14:21" x14ac:dyDescent="0.25">
      <c r="N537" s="10">
        <v>265.5</v>
      </c>
      <c r="O537" s="17" t="e">
        <f t="shared" si="87"/>
        <v>#N/A</v>
      </c>
      <c r="P537" s="17">
        <f t="shared" si="92"/>
        <v>265.5</v>
      </c>
      <c r="Q537" s="19" t="e">
        <f t="shared" si="86"/>
        <v>#N/A</v>
      </c>
      <c r="R537" s="11" t="e">
        <f t="shared" si="88"/>
        <v>#N/A</v>
      </c>
      <c r="S537" s="19" t="e">
        <f t="shared" si="89"/>
        <v>#N/A</v>
      </c>
      <c r="T537" s="19" t="e">
        <f t="shared" si="90"/>
        <v>#N/A</v>
      </c>
      <c r="U537" s="19">
        <f t="shared" si="91"/>
        <v>83.804000000000016</v>
      </c>
    </row>
    <row r="538" spans="14:21" x14ac:dyDescent="0.25">
      <c r="N538" s="10">
        <v>266</v>
      </c>
      <c r="O538" s="17" t="e">
        <f t="shared" si="87"/>
        <v>#N/A</v>
      </c>
      <c r="P538" s="17">
        <f t="shared" si="92"/>
        <v>266</v>
      </c>
      <c r="Q538" s="19" t="e">
        <f t="shared" si="86"/>
        <v>#N/A</v>
      </c>
      <c r="R538" s="11" t="e">
        <f t="shared" si="88"/>
        <v>#N/A</v>
      </c>
      <c r="S538" s="19" t="e">
        <f t="shared" si="89"/>
        <v>#N/A</v>
      </c>
      <c r="T538" s="19" t="e">
        <f t="shared" si="90"/>
        <v>#N/A</v>
      </c>
      <c r="U538" s="19">
        <f t="shared" si="91"/>
        <v>83.804000000000016</v>
      </c>
    </row>
    <row r="539" spans="14:21" x14ac:dyDescent="0.25">
      <c r="N539" s="10">
        <v>266.5</v>
      </c>
      <c r="O539" s="17" t="e">
        <f t="shared" si="87"/>
        <v>#N/A</v>
      </c>
      <c r="P539" s="17">
        <f t="shared" si="92"/>
        <v>266.5</v>
      </c>
      <c r="Q539" s="19" t="e">
        <f t="shared" si="86"/>
        <v>#N/A</v>
      </c>
      <c r="R539" s="11" t="e">
        <f t="shared" si="88"/>
        <v>#N/A</v>
      </c>
      <c r="S539" s="19" t="e">
        <f t="shared" si="89"/>
        <v>#N/A</v>
      </c>
      <c r="T539" s="19" t="e">
        <f t="shared" si="90"/>
        <v>#N/A</v>
      </c>
      <c r="U539" s="19">
        <f t="shared" si="91"/>
        <v>83.804000000000016</v>
      </c>
    </row>
    <row r="540" spans="14:21" x14ac:dyDescent="0.25">
      <c r="N540" s="10">
        <v>267</v>
      </c>
      <c r="O540" s="17" t="e">
        <f t="shared" si="87"/>
        <v>#N/A</v>
      </c>
      <c r="P540" s="17">
        <f t="shared" si="92"/>
        <v>267</v>
      </c>
      <c r="Q540" s="19" t="e">
        <f t="shared" si="86"/>
        <v>#N/A</v>
      </c>
      <c r="R540" s="11" t="e">
        <f t="shared" si="88"/>
        <v>#N/A</v>
      </c>
      <c r="S540" s="19" t="e">
        <f t="shared" si="89"/>
        <v>#N/A</v>
      </c>
      <c r="T540" s="19" t="e">
        <f t="shared" si="90"/>
        <v>#N/A</v>
      </c>
      <c r="U540" s="19">
        <f t="shared" si="91"/>
        <v>83.804000000000016</v>
      </c>
    </row>
    <row r="541" spans="14:21" x14ac:dyDescent="0.25">
      <c r="N541" s="10">
        <v>267.5</v>
      </c>
      <c r="O541" s="17" t="e">
        <f t="shared" si="87"/>
        <v>#N/A</v>
      </c>
      <c r="P541" s="17">
        <f t="shared" si="92"/>
        <v>267.5</v>
      </c>
      <c r="Q541" s="19" t="e">
        <f t="shared" si="86"/>
        <v>#N/A</v>
      </c>
      <c r="R541" s="11" t="e">
        <f t="shared" si="88"/>
        <v>#N/A</v>
      </c>
      <c r="S541" s="19" t="e">
        <f t="shared" si="89"/>
        <v>#N/A</v>
      </c>
      <c r="T541" s="19" t="e">
        <f t="shared" si="90"/>
        <v>#N/A</v>
      </c>
      <c r="U541" s="19">
        <f t="shared" si="91"/>
        <v>83.804000000000016</v>
      </c>
    </row>
    <row r="542" spans="14:21" x14ac:dyDescent="0.25">
      <c r="N542" s="10">
        <v>268</v>
      </c>
      <c r="O542" s="17" t="e">
        <f t="shared" si="87"/>
        <v>#N/A</v>
      </c>
      <c r="P542" s="17">
        <f t="shared" si="92"/>
        <v>268</v>
      </c>
      <c r="Q542" s="19" t="e">
        <f t="shared" si="86"/>
        <v>#N/A</v>
      </c>
      <c r="R542" s="11" t="e">
        <f t="shared" si="88"/>
        <v>#N/A</v>
      </c>
      <c r="S542" s="19" t="e">
        <f t="shared" si="89"/>
        <v>#N/A</v>
      </c>
      <c r="T542" s="19" t="e">
        <f t="shared" si="90"/>
        <v>#N/A</v>
      </c>
      <c r="U542" s="19">
        <f t="shared" si="91"/>
        <v>83.804000000000016</v>
      </c>
    </row>
    <row r="543" spans="14:21" x14ac:dyDescent="0.25">
      <c r="N543" s="10">
        <v>268.5</v>
      </c>
      <c r="O543" s="17" t="e">
        <f t="shared" si="87"/>
        <v>#N/A</v>
      </c>
      <c r="P543" s="17">
        <f t="shared" si="92"/>
        <v>268.5</v>
      </c>
      <c r="Q543" s="19" t="e">
        <f t="shared" ref="Q543:Q606" si="93" xml:space="preserve"> -0.0232*O543^3 + 0.296*O543^2 + 12.396*O543 + 74.648</f>
        <v>#N/A</v>
      </c>
      <c r="R543" s="11" t="e">
        <f t="shared" si="88"/>
        <v>#N/A</v>
      </c>
      <c r="S543" s="19" t="e">
        <f t="shared" si="89"/>
        <v>#N/A</v>
      </c>
      <c r="T543" s="19" t="e">
        <f t="shared" si="90"/>
        <v>#N/A</v>
      </c>
      <c r="U543" s="19">
        <f t="shared" si="91"/>
        <v>83.804000000000016</v>
      </c>
    </row>
    <row r="544" spans="14:21" x14ac:dyDescent="0.25">
      <c r="N544" s="10">
        <v>269</v>
      </c>
      <c r="O544" s="17" t="e">
        <f t="shared" si="87"/>
        <v>#N/A</v>
      </c>
      <c r="P544" s="17">
        <f t="shared" si="92"/>
        <v>269</v>
      </c>
      <c r="Q544" s="19" t="e">
        <f t="shared" si="93"/>
        <v>#N/A</v>
      </c>
      <c r="R544" s="11" t="e">
        <f t="shared" si="88"/>
        <v>#N/A</v>
      </c>
      <c r="S544" s="19" t="e">
        <f t="shared" si="89"/>
        <v>#N/A</v>
      </c>
      <c r="T544" s="19" t="e">
        <f t="shared" si="90"/>
        <v>#N/A</v>
      </c>
      <c r="U544" s="19">
        <f t="shared" si="91"/>
        <v>83.804000000000016</v>
      </c>
    </row>
    <row r="545" spans="14:21" x14ac:dyDescent="0.25">
      <c r="N545" s="10">
        <v>269.5</v>
      </c>
      <c r="O545" s="17" t="e">
        <f t="shared" si="87"/>
        <v>#N/A</v>
      </c>
      <c r="P545" s="17">
        <f t="shared" si="92"/>
        <v>269.5</v>
      </c>
      <c r="Q545" s="19" t="e">
        <f t="shared" si="93"/>
        <v>#N/A</v>
      </c>
      <c r="R545" s="11" t="e">
        <f t="shared" si="88"/>
        <v>#N/A</v>
      </c>
      <c r="S545" s="19" t="e">
        <f t="shared" si="89"/>
        <v>#N/A</v>
      </c>
      <c r="T545" s="19" t="e">
        <f t="shared" si="90"/>
        <v>#N/A</v>
      </c>
      <c r="U545" s="19">
        <f t="shared" si="91"/>
        <v>83.804000000000016</v>
      </c>
    </row>
    <row r="546" spans="14:21" x14ac:dyDescent="0.25">
      <c r="N546" s="10">
        <v>270</v>
      </c>
      <c r="O546" s="17" t="e">
        <f t="shared" si="87"/>
        <v>#N/A</v>
      </c>
      <c r="P546" s="17">
        <f t="shared" si="92"/>
        <v>270</v>
      </c>
      <c r="Q546" s="19" t="e">
        <f t="shared" si="93"/>
        <v>#N/A</v>
      </c>
      <c r="R546" s="11" t="e">
        <f t="shared" si="88"/>
        <v>#N/A</v>
      </c>
      <c r="S546" s="19" t="e">
        <f t="shared" si="89"/>
        <v>#N/A</v>
      </c>
      <c r="T546" s="19" t="e">
        <f t="shared" si="90"/>
        <v>#N/A</v>
      </c>
      <c r="U546" s="19">
        <f t="shared" si="91"/>
        <v>83.804000000000016</v>
      </c>
    </row>
    <row r="547" spans="14:21" x14ac:dyDescent="0.25">
      <c r="N547" s="10">
        <v>270.5</v>
      </c>
      <c r="O547" s="17" t="e">
        <f t="shared" si="87"/>
        <v>#N/A</v>
      </c>
      <c r="P547" s="17">
        <f t="shared" si="92"/>
        <v>270.5</v>
      </c>
      <c r="Q547" s="19" t="e">
        <f t="shared" si="93"/>
        <v>#N/A</v>
      </c>
      <c r="R547" s="11" t="e">
        <f t="shared" si="88"/>
        <v>#N/A</v>
      </c>
      <c r="S547" s="19" t="e">
        <f t="shared" si="89"/>
        <v>#N/A</v>
      </c>
      <c r="T547" s="19" t="e">
        <f t="shared" si="90"/>
        <v>#N/A</v>
      </c>
      <c r="U547" s="19">
        <f t="shared" si="91"/>
        <v>83.804000000000016</v>
      </c>
    </row>
    <row r="548" spans="14:21" x14ac:dyDescent="0.25">
      <c r="N548" s="10">
        <v>271</v>
      </c>
      <c r="O548" s="17" t="e">
        <f t="shared" si="87"/>
        <v>#N/A</v>
      </c>
      <c r="P548" s="17">
        <f t="shared" si="92"/>
        <v>271</v>
      </c>
      <c r="Q548" s="19" t="e">
        <f t="shared" si="93"/>
        <v>#N/A</v>
      </c>
      <c r="R548" s="11" t="e">
        <f t="shared" si="88"/>
        <v>#N/A</v>
      </c>
      <c r="S548" s="19" t="e">
        <f t="shared" si="89"/>
        <v>#N/A</v>
      </c>
      <c r="T548" s="19" t="e">
        <f t="shared" si="90"/>
        <v>#N/A</v>
      </c>
      <c r="U548" s="19">
        <f t="shared" si="91"/>
        <v>83.804000000000016</v>
      </c>
    </row>
    <row r="549" spans="14:21" x14ac:dyDescent="0.25">
      <c r="N549" s="10">
        <v>271.5</v>
      </c>
      <c r="O549" s="17" t="e">
        <f t="shared" si="87"/>
        <v>#N/A</v>
      </c>
      <c r="P549" s="17">
        <f t="shared" si="92"/>
        <v>271.5</v>
      </c>
      <c r="Q549" s="19" t="e">
        <f t="shared" si="93"/>
        <v>#N/A</v>
      </c>
      <c r="R549" s="11" t="e">
        <f t="shared" si="88"/>
        <v>#N/A</v>
      </c>
      <c r="S549" s="19" t="e">
        <f t="shared" si="89"/>
        <v>#N/A</v>
      </c>
      <c r="T549" s="19" t="e">
        <f t="shared" si="90"/>
        <v>#N/A</v>
      </c>
      <c r="U549" s="19">
        <f t="shared" si="91"/>
        <v>83.804000000000016</v>
      </c>
    </row>
    <row r="550" spans="14:21" x14ac:dyDescent="0.25">
      <c r="N550" s="10">
        <v>272</v>
      </c>
      <c r="O550" s="17" t="e">
        <f t="shared" si="87"/>
        <v>#N/A</v>
      </c>
      <c r="P550" s="17">
        <f t="shared" si="92"/>
        <v>272</v>
      </c>
      <c r="Q550" s="19" t="e">
        <f t="shared" si="93"/>
        <v>#N/A</v>
      </c>
      <c r="R550" s="11" t="e">
        <f t="shared" si="88"/>
        <v>#N/A</v>
      </c>
      <c r="S550" s="19" t="e">
        <f t="shared" si="89"/>
        <v>#N/A</v>
      </c>
      <c r="T550" s="19" t="e">
        <f t="shared" si="90"/>
        <v>#N/A</v>
      </c>
      <c r="U550" s="19">
        <f t="shared" si="91"/>
        <v>83.804000000000016</v>
      </c>
    </row>
    <row r="551" spans="14:21" x14ac:dyDescent="0.25">
      <c r="N551" s="10">
        <v>272.5</v>
      </c>
      <c r="O551" s="17" t="e">
        <f t="shared" si="87"/>
        <v>#N/A</v>
      </c>
      <c r="P551" s="17">
        <f t="shared" si="92"/>
        <v>272.5</v>
      </c>
      <c r="Q551" s="19" t="e">
        <f t="shared" si="93"/>
        <v>#N/A</v>
      </c>
      <c r="R551" s="11" t="e">
        <f t="shared" si="88"/>
        <v>#N/A</v>
      </c>
      <c r="S551" s="19" t="e">
        <f t="shared" si="89"/>
        <v>#N/A</v>
      </c>
      <c r="T551" s="19" t="e">
        <f t="shared" si="90"/>
        <v>#N/A</v>
      </c>
      <c r="U551" s="19">
        <f t="shared" si="91"/>
        <v>83.804000000000016</v>
      </c>
    </row>
    <row r="552" spans="14:21" x14ac:dyDescent="0.25">
      <c r="N552" s="10">
        <v>273</v>
      </c>
      <c r="O552" s="17" t="e">
        <f t="shared" si="87"/>
        <v>#N/A</v>
      </c>
      <c r="P552" s="17">
        <f t="shared" si="92"/>
        <v>273</v>
      </c>
      <c r="Q552" s="19" t="e">
        <f t="shared" si="93"/>
        <v>#N/A</v>
      </c>
      <c r="R552" s="11" t="e">
        <f t="shared" si="88"/>
        <v>#N/A</v>
      </c>
      <c r="S552" s="19" t="e">
        <f t="shared" si="89"/>
        <v>#N/A</v>
      </c>
      <c r="T552" s="19" t="e">
        <f t="shared" si="90"/>
        <v>#N/A</v>
      </c>
      <c r="U552" s="19">
        <f t="shared" si="91"/>
        <v>83.804000000000016</v>
      </c>
    </row>
    <row r="553" spans="14:21" x14ac:dyDescent="0.25">
      <c r="N553" s="10">
        <v>273.5</v>
      </c>
      <c r="O553" s="17" t="e">
        <f t="shared" si="87"/>
        <v>#N/A</v>
      </c>
      <c r="P553" s="17">
        <f t="shared" si="92"/>
        <v>273.5</v>
      </c>
      <c r="Q553" s="19" t="e">
        <f t="shared" si="93"/>
        <v>#N/A</v>
      </c>
      <c r="R553" s="11" t="e">
        <f t="shared" si="88"/>
        <v>#N/A</v>
      </c>
      <c r="S553" s="19" t="e">
        <f t="shared" si="89"/>
        <v>#N/A</v>
      </c>
      <c r="T553" s="19" t="e">
        <f t="shared" si="90"/>
        <v>#N/A</v>
      </c>
      <c r="U553" s="19">
        <f t="shared" si="91"/>
        <v>83.804000000000016</v>
      </c>
    </row>
    <row r="554" spans="14:21" x14ac:dyDescent="0.25">
      <c r="N554" s="10">
        <v>274</v>
      </c>
      <c r="O554" s="17" t="e">
        <f t="shared" si="87"/>
        <v>#N/A</v>
      </c>
      <c r="P554" s="17">
        <f t="shared" si="92"/>
        <v>274</v>
      </c>
      <c r="Q554" s="19" t="e">
        <f t="shared" si="93"/>
        <v>#N/A</v>
      </c>
      <c r="R554" s="11" t="e">
        <f t="shared" si="88"/>
        <v>#N/A</v>
      </c>
      <c r="S554" s="19" t="e">
        <f t="shared" si="89"/>
        <v>#N/A</v>
      </c>
      <c r="T554" s="19" t="e">
        <f t="shared" si="90"/>
        <v>#N/A</v>
      </c>
      <c r="U554" s="19">
        <f t="shared" si="91"/>
        <v>83.804000000000016</v>
      </c>
    </row>
    <row r="555" spans="14:21" x14ac:dyDescent="0.25">
      <c r="N555" s="10">
        <v>274.5</v>
      </c>
      <c r="O555" s="17" t="e">
        <f t="shared" si="87"/>
        <v>#N/A</v>
      </c>
      <c r="P555" s="17">
        <f t="shared" si="92"/>
        <v>274.5</v>
      </c>
      <c r="Q555" s="19" t="e">
        <f t="shared" si="93"/>
        <v>#N/A</v>
      </c>
      <c r="R555" s="11" t="e">
        <f t="shared" si="88"/>
        <v>#N/A</v>
      </c>
      <c r="S555" s="19" t="e">
        <f t="shared" si="89"/>
        <v>#N/A</v>
      </c>
      <c r="T555" s="19" t="e">
        <f t="shared" si="90"/>
        <v>#N/A</v>
      </c>
      <c r="U555" s="19">
        <f t="shared" si="91"/>
        <v>83.804000000000016</v>
      </c>
    </row>
    <row r="556" spans="14:21" x14ac:dyDescent="0.25">
      <c r="N556" s="10">
        <v>275</v>
      </c>
      <c r="O556" s="17" t="e">
        <f t="shared" si="87"/>
        <v>#N/A</v>
      </c>
      <c r="P556" s="17">
        <f t="shared" si="92"/>
        <v>275</v>
      </c>
      <c r="Q556" s="19" t="e">
        <f t="shared" si="93"/>
        <v>#N/A</v>
      </c>
      <c r="R556" s="11" t="e">
        <f t="shared" si="88"/>
        <v>#N/A</v>
      </c>
      <c r="S556" s="19" t="e">
        <f t="shared" si="89"/>
        <v>#N/A</v>
      </c>
      <c r="T556" s="19" t="e">
        <f t="shared" si="90"/>
        <v>#N/A</v>
      </c>
      <c r="U556" s="19">
        <f t="shared" si="91"/>
        <v>83.804000000000016</v>
      </c>
    </row>
    <row r="557" spans="14:21" x14ac:dyDescent="0.25">
      <c r="N557" s="10">
        <v>275.5</v>
      </c>
      <c r="O557" s="17" t="e">
        <f t="shared" si="87"/>
        <v>#N/A</v>
      </c>
      <c r="P557" s="17">
        <f t="shared" si="92"/>
        <v>275.5</v>
      </c>
      <c r="Q557" s="19" t="e">
        <f t="shared" si="93"/>
        <v>#N/A</v>
      </c>
      <c r="R557" s="11" t="e">
        <f t="shared" si="88"/>
        <v>#N/A</v>
      </c>
      <c r="S557" s="19" t="e">
        <f t="shared" si="89"/>
        <v>#N/A</v>
      </c>
      <c r="T557" s="19" t="e">
        <f t="shared" si="90"/>
        <v>#N/A</v>
      </c>
      <c r="U557" s="19">
        <f t="shared" si="91"/>
        <v>83.804000000000016</v>
      </c>
    </row>
    <row r="558" spans="14:21" x14ac:dyDescent="0.25">
      <c r="N558" s="10">
        <v>276</v>
      </c>
      <c r="O558" s="17" t="e">
        <f t="shared" si="87"/>
        <v>#N/A</v>
      </c>
      <c r="P558" s="17">
        <f t="shared" si="92"/>
        <v>276</v>
      </c>
      <c r="Q558" s="19" t="e">
        <f t="shared" si="93"/>
        <v>#N/A</v>
      </c>
      <c r="R558" s="11" t="e">
        <f t="shared" si="88"/>
        <v>#N/A</v>
      </c>
      <c r="S558" s="19" t="e">
        <f t="shared" si="89"/>
        <v>#N/A</v>
      </c>
      <c r="T558" s="19" t="e">
        <f t="shared" si="90"/>
        <v>#N/A</v>
      </c>
      <c r="U558" s="19">
        <f t="shared" si="91"/>
        <v>83.804000000000016</v>
      </c>
    </row>
    <row r="559" spans="14:21" x14ac:dyDescent="0.25">
      <c r="N559" s="10">
        <v>276.5</v>
      </c>
      <c r="O559" s="17" t="e">
        <f t="shared" si="87"/>
        <v>#N/A</v>
      </c>
      <c r="P559" s="17">
        <f t="shared" si="92"/>
        <v>276.5</v>
      </c>
      <c r="Q559" s="19" t="e">
        <f t="shared" si="93"/>
        <v>#N/A</v>
      </c>
      <c r="R559" s="11" t="e">
        <f t="shared" si="88"/>
        <v>#N/A</v>
      </c>
      <c r="S559" s="19" t="e">
        <f t="shared" si="89"/>
        <v>#N/A</v>
      </c>
      <c r="T559" s="19" t="e">
        <f t="shared" si="90"/>
        <v>#N/A</v>
      </c>
      <c r="U559" s="19">
        <f t="shared" si="91"/>
        <v>83.804000000000016</v>
      </c>
    </row>
    <row r="560" spans="14:21" x14ac:dyDescent="0.25">
      <c r="N560" s="10">
        <v>277</v>
      </c>
      <c r="O560" s="17" t="e">
        <f t="shared" si="87"/>
        <v>#N/A</v>
      </c>
      <c r="P560" s="17">
        <f t="shared" si="92"/>
        <v>277</v>
      </c>
      <c r="Q560" s="19" t="e">
        <f t="shared" si="93"/>
        <v>#N/A</v>
      </c>
      <c r="R560" s="11" t="e">
        <f t="shared" si="88"/>
        <v>#N/A</v>
      </c>
      <c r="S560" s="19" t="e">
        <f t="shared" si="89"/>
        <v>#N/A</v>
      </c>
      <c r="T560" s="19" t="e">
        <f t="shared" si="90"/>
        <v>#N/A</v>
      </c>
      <c r="U560" s="19">
        <f t="shared" si="91"/>
        <v>83.804000000000016</v>
      </c>
    </row>
    <row r="561" spans="14:21" x14ac:dyDescent="0.25">
      <c r="N561" s="10">
        <v>277.5</v>
      </c>
      <c r="O561" s="17" t="e">
        <f t="shared" si="87"/>
        <v>#N/A</v>
      </c>
      <c r="P561" s="17">
        <f t="shared" si="92"/>
        <v>277.5</v>
      </c>
      <c r="Q561" s="19" t="e">
        <f t="shared" si="93"/>
        <v>#N/A</v>
      </c>
      <c r="R561" s="11" t="e">
        <f t="shared" si="88"/>
        <v>#N/A</v>
      </c>
      <c r="S561" s="19" t="e">
        <f t="shared" si="89"/>
        <v>#N/A</v>
      </c>
      <c r="T561" s="19" t="e">
        <f t="shared" si="90"/>
        <v>#N/A</v>
      </c>
      <c r="U561" s="19">
        <f t="shared" si="91"/>
        <v>83.804000000000016</v>
      </c>
    </row>
    <row r="562" spans="14:21" x14ac:dyDescent="0.25">
      <c r="N562" s="10">
        <v>278</v>
      </c>
      <c r="O562" s="17" t="e">
        <f t="shared" si="87"/>
        <v>#N/A</v>
      </c>
      <c r="P562" s="17">
        <f t="shared" si="92"/>
        <v>278</v>
      </c>
      <c r="Q562" s="19" t="e">
        <f t="shared" si="93"/>
        <v>#N/A</v>
      </c>
      <c r="R562" s="11" t="e">
        <f t="shared" si="88"/>
        <v>#N/A</v>
      </c>
      <c r="S562" s="19" t="e">
        <f t="shared" si="89"/>
        <v>#N/A</v>
      </c>
      <c r="T562" s="19" t="e">
        <f t="shared" si="90"/>
        <v>#N/A</v>
      </c>
      <c r="U562" s="19">
        <f t="shared" si="91"/>
        <v>83.804000000000016</v>
      </c>
    </row>
    <row r="563" spans="14:21" x14ac:dyDescent="0.25">
      <c r="N563" s="10">
        <v>278.5</v>
      </c>
      <c r="O563" s="17" t="e">
        <f t="shared" si="87"/>
        <v>#N/A</v>
      </c>
      <c r="P563" s="17">
        <f t="shared" si="92"/>
        <v>278.5</v>
      </c>
      <c r="Q563" s="19" t="e">
        <f t="shared" si="93"/>
        <v>#N/A</v>
      </c>
      <c r="R563" s="11" t="e">
        <f t="shared" si="88"/>
        <v>#N/A</v>
      </c>
      <c r="S563" s="19" t="e">
        <f t="shared" si="89"/>
        <v>#N/A</v>
      </c>
      <c r="T563" s="19" t="e">
        <f t="shared" si="90"/>
        <v>#N/A</v>
      </c>
      <c r="U563" s="19">
        <f t="shared" si="91"/>
        <v>83.804000000000016</v>
      </c>
    </row>
    <row r="564" spans="14:21" x14ac:dyDescent="0.25">
      <c r="N564" s="10">
        <v>279</v>
      </c>
      <c r="O564" s="17" t="e">
        <f t="shared" si="87"/>
        <v>#N/A</v>
      </c>
      <c r="P564" s="17">
        <f t="shared" si="92"/>
        <v>279</v>
      </c>
      <c r="Q564" s="19" t="e">
        <f t="shared" si="93"/>
        <v>#N/A</v>
      </c>
      <c r="R564" s="11" t="e">
        <f t="shared" si="88"/>
        <v>#N/A</v>
      </c>
      <c r="S564" s="19" t="e">
        <f t="shared" si="89"/>
        <v>#N/A</v>
      </c>
      <c r="T564" s="19" t="e">
        <f t="shared" si="90"/>
        <v>#N/A</v>
      </c>
      <c r="U564" s="19">
        <f t="shared" si="91"/>
        <v>83.804000000000016</v>
      </c>
    </row>
    <row r="565" spans="14:21" x14ac:dyDescent="0.25">
      <c r="N565" s="10">
        <v>279.5</v>
      </c>
      <c r="O565" s="17" t="e">
        <f t="shared" si="87"/>
        <v>#N/A</v>
      </c>
      <c r="P565" s="17">
        <f t="shared" si="92"/>
        <v>279.5</v>
      </c>
      <c r="Q565" s="19" t="e">
        <f t="shared" si="93"/>
        <v>#N/A</v>
      </c>
      <c r="R565" s="11" t="e">
        <f t="shared" si="88"/>
        <v>#N/A</v>
      </c>
      <c r="S565" s="19" t="e">
        <f t="shared" si="89"/>
        <v>#N/A</v>
      </c>
      <c r="T565" s="19" t="e">
        <f t="shared" si="90"/>
        <v>#N/A</v>
      </c>
      <c r="U565" s="19">
        <f t="shared" si="91"/>
        <v>83.804000000000016</v>
      </c>
    </row>
    <row r="566" spans="14:21" x14ac:dyDescent="0.25">
      <c r="N566" s="10">
        <v>280</v>
      </c>
      <c r="O566" s="17" t="e">
        <f t="shared" si="87"/>
        <v>#N/A</v>
      </c>
      <c r="P566" s="17">
        <f t="shared" si="92"/>
        <v>280</v>
      </c>
      <c r="Q566" s="19" t="e">
        <f t="shared" si="93"/>
        <v>#N/A</v>
      </c>
      <c r="R566" s="11" t="e">
        <f t="shared" si="88"/>
        <v>#N/A</v>
      </c>
      <c r="S566" s="19" t="e">
        <f t="shared" si="89"/>
        <v>#N/A</v>
      </c>
      <c r="T566" s="19" t="e">
        <f t="shared" si="90"/>
        <v>#N/A</v>
      </c>
      <c r="U566" s="19">
        <f t="shared" si="91"/>
        <v>83.804000000000016</v>
      </c>
    </row>
    <row r="567" spans="14:21" x14ac:dyDescent="0.25">
      <c r="N567" s="10">
        <v>280.5</v>
      </c>
      <c r="O567" s="17" t="e">
        <f t="shared" si="87"/>
        <v>#N/A</v>
      </c>
      <c r="P567" s="17">
        <f t="shared" si="92"/>
        <v>280.5</v>
      </c>
      <c r="Q567" s="19" t="e">
        <f t="shared" si="93"/>
        <v>#N/A</v>
      </c>
      <c r="R567" s="11" t="e">
        <f t="shared" si="88"/>
        <v>#N/A</v>
      </c>
      <c r="S567" s="19" t="e">
        <f t="shared" si="89"/>
        <v>#N/A</v>
      </c>
      <c r="T567" s="19" t="e">
        <f t="shared" si="90"/>
        <v>#N/A</v>
      </c>
      <c r="U567" s="19">
        <f t="shared" si="91"/>
        <v>83.804000000000016</v>
      </c>
    </row>
    <row r="568" spans="14:21" x14ac:dyDescent="0.25">
      <c r="N568" s="10">
        <v>281</v>
      </c>
      <c r="O568" s="17" t="e">
        <f t="shared" si="87"/>
        <v>#N/A</v>
      </c>
      <c r="P568" s="17">
        <f t="shared" si="92"/>
        <v>281</v>
      </c>
      <c r="Q568" s="19" t="e">
        <f t="shared" si="93"/>
        <v>#N/A</v>
      </c>
      <c r="R568" s="11" t="e">
        <f t="shared" si="88"/>
        <v>#N/A</v>
      </c>
      <c r="S568" s="19" t="e">
        <f t="shared" si="89"/>
        <v>#N/A</v>
      </c>
      <c r="T568" s="19" t="e">
        <f t="shared" si="90"/>
        <v>#N/A</v>
      </c>
      <c r="U568" s="19">
        <f t="shared" si="91"/>
        <v>83.804000000000016</v>
      </c>
    </row>
    <row r="569" spans="14:21" x14ac:dyDescent="0.25">
      <c r="N569" s="10">
        <v>281.5</v>
      </c>
      <c r="O569" s="17" t="e">
        <f t="shared" si="87"/>
        <v>#N/A</v>
      </c>
      <c r="P569" s="17">
        <f t="shared" si="92"/>
        <v>281.5</v>
      </c>
      <c r="Q569" s="19" t="e">
        <f t="shared" si="93"/>
        <v>#N/A</v>
      </c>
      <c r="R569" s="11" t="e">
        <f t="shared" si="88"/>
        <v>#N/A</v>
      </c>
      <c r="S569" s="19" t="e">
        <f t="shared" si="89"/>
        <v>#N/A</v>
      </c>
      <c r="T569" s="19" t="e">
        <f t="shared" si="90"/>
        <v>#N/A</v>
      </c>
      <c r="U569" s="19">
        <f t="shared" si="91"/>
        <v>83.804000000000016</v>
      </c>
    </row>
    <row r="570" spans="14:21" x14ac:dyDescent="0.25">
      <c r="N570" s="10">
        <v>282</v>
      </c>
      <c r="O570" s="17" t="e">
        <f t="shared" si="87"/>
        <v>#N/A</v>
      </c>
      <c r="P570" s="17">
        <f t="shared" si="92"/>
        <v>282</v>
      </c>
      <c r="Q570" s="19" t="e">
        <f t="shared" si="93"/>
        <v>#N/A</v>
      </c>
      <c r="R570" s="11" t="e">
        <f t="shared" si="88"/>
        <v>#N/A</v>
      </c>
      <c r="S570" s="19" t="e">
        <f t="shared" si="89"/>
        <v>#N/A</v>
      </c>
      <c r="T570" s="19" t="e">
        <f t="shared" si="90"/>
        <v>#N/A</v>
      </c>
      <c r="U570" s="19">
        <f t="shared" si="91"/>
        <v>83.804000000000016</v>
      </c>
    </row>
    <row r="571" spans="14:21" x14ac:dyDescent="0.25">
      <c r="N571" s="10">
        <v>282.5</v>
      </c>
      <c r="O571" s="17" t="e">
        <f t="shared" si="87"/>
        <v>#N/A</v>
      </c>
      <c r="P571" s="17">
        <f t="shared" si="92"/>
        <v>282.5</v>
      </c>
      <c r="Q571" s="19" t="e">
        <f t="shared" si="93"/>
        <v>#N/A</v>
      </c>
      <c r="R571" s="11" t="e">
        <f t="shared" si="88"/>
        <v>#N/A</v>
      </c>
      <c r="S571" s="19" t="e">
        <f t="shared" si="89"/>
        <v>#N/A</v>
      </c>
      <c r="T571" s="19" t="e">
        <f t="shared" si="90"/>
        <v>#N/A</v>
      </c>
      <c r="U571" s="19">
        <f t="shared" si="91"/>
        <v>83.804000000000016</v>
      </c>
    </row>
    <row r="572" spans="14:21" x14ac:dyDescent="0.25">
      <c r="N572" s="10">
        <v>283</v>
      </c>
      <c r="O572" s="17" t="e">
        <f t="shared" si="87"/>
        <v>#N/A</v>
      </c>
      <c r="P572" s="17">
        <f t="shared" si="92"/>
        <v>283</v>
      </c>
      <c r="Q572" s="19" t="e">
        <f t="shared" si="93"/>
        <v>#N/A</v>
      </c>
      <c r="R572" s="11" t="e">
        <f t="shared" si="88"/>
        <v>#N/A</v>
      </c>
      <c r="S572" s="19" t="e">
        <f t="shared" si="89"/>
        <v>#N/A</v>
      </c>
      <c r="T572" s="19" t="e">
        <f t="shared" si="90"/>
        <v>#N/A</v>
      </c>
      <c r="U572" s="19">
        <f t="shared" si="91"/>
        <v>83.804000000000016</v>
      </c>
    </row>
    <row r="573" spans="14:21" x14ac:dyDescent="0.25">
      <c r="N573" s="10">
        <v>283.5</v>
      </c>
      <c r="O573" s="17" t="e">
        <f t="shared" si="87"/>
        <v>#N/A</v>
      </c>
      <c r="P573" s="17">
        <f t="shared" si="92"/>
        <v>283.5</v>
      </c>
      <c r="Q573" s="19" t="e">
        <f t="shared" si="93"/>
        <v>#N/A</v>
      </c>
      <c r="R573" s="11" t="e">
        <f t="shared" si="88"/>
        <v>#N/A</v>
      </c>
      <c r="S573" s="19" t="e">
        <f t="shared" si="89"/>
        <v>#N/A</v>
      </c>
      <c r="T573" s="19" t="e">
        <f t="shared" si="90"/>
        <v>#N/A</v>
      </c>
      <c r="U573" s="19">
        <f t="shared" si="91"/>
        <v>83.804000000000016</v>
      </c>
    </row>
    <row r="574" spans="14:21" x14ac:dyDescent="0.25">
      <c r="N574" s="10">
        <v>284</v>
      </c>
      <c r="O574" s="17" t="e">
        <f t="shared" si="87"/>
        <v>#N/A</v>
      </c>
      <c r="P574" s="17">
        <f t="shared" si="92"/>
        <v>284</v>
      </c>
      <c r="Q574" s="19" t="e">
        <f t="shared" si="93"/>
        <v>#N/A</v>
      </c>
      <c r="R574" s="11" t="e">
        <f t="shared" si="88"/>
        <v>#N/A</v>
      </c>
      <c r="S574" s="19" t="e">
        <f t="shared" si="89"/>
        <v>#N/A</v>
      </c>
      <c r="T574" s="19" t="e">
        <f t="shared" si="90"/>
        <v>#N/A</v>
      </c>
      <c r="U574" s="19">
        <f t="shared" si="91"/>
        <v>83.804000000000016</v>
      </c>
    </row>
    <row r="575" spans="14:21" x14ac:dyDescent="0.25">
      <c r="N575" s="10">
        <v>284.5</v>
      </c>
      <c r="O575" s="17" t="e">
        <f t="shared" si="87"/>
        <v>#N/A</v>
      </c>
      <c r="P575" s="17">
        <f t="shared" si="92"/>
        <v>284.5</v>
      </c>
      <c r="Q575" s="19" t="e">
        <f t="shared" si="93"/>
        <v>#N/A</v>
      </c>
      <c r="R575" s="11" t="e">
        <f t="shared" si="88"/>
        <v>#N/A</v>
      </c>
      <c r="S575" s="19" t="e">
        <f t="shared" si="89"/>
        <v>#N/A</v>
      </c>
      <c r="T575" s="19" t="e">
        <f t="shared" si="90"/>
        <v>#N/A</v>
      </c>
      <c r="U575" s="19">
        <f t="shared" si="91"/>
        <v>83.804000000000016</v>
      </c>
    </row>
    <row r="576" spans="14:21" x14ac:dyDescent="0.25">
      <c r="N576" s="10">
        <v>285</v>
      </c>
      <c r="O576" s="17" t="e">
        <f t="shared" si="87"/>
        <v>#N/A</v>
      </c>
      <c r="P576" s="17">
        <f t="shared" si="92"/>
        <v>285</v>
      </c>
      <c r="Q576" s="19" t="e">
        <f t="shared" si="93"/>
        <v>#N/A</v>
      </c>
      <c r="R576" s="11" t="e">
        <f t="shared" si="88"/>
        <v>#N/A</v>
      </c>
      <c r="S576" s="19" t="e">
        <f t="shared" si="89"/>
        <v>#N/A</v>
      </c>
      <c r="T576" s="19" t="e">
        <f t="shared" si="90"/>
        <v>#N/A</v>
      </c>
      <c r="U576" s="19">
        <f t="shared" si="91"/>
        <v>83.804000000000016</v>
      </c>
    </row>
    <row r="577" spans="14:21" x14ac:dyDescent="0.25">
      <c r="N577" s="10">
        <v>285.5</v>
      </c>
      <c r="O577" s="17" t="e">
        <f t="shared" si="87"/>
        <v>#N/A</v>
      </c>
      <c r="P577" s="17">
        <f t="shared" si="92"/>
        <v>285.5</v>
      </c>
      <c r="Q577" s="19" t="e">
        <f t="shared" si="93"/>
        <v>#N/A</v>
      </c>
      <c r="R577" s="11" t="e">
        <f t="shared" si="88"/>
        <v>#N/A</v>
      </c>
      <c r="S577" s="19" t="e">
        <f t="shared" si="89"/>
        <v>#N/A</v>
      </c>
      <c r="T577" s="19" t="e">
        <f t="shared" si="90"/>
        <v>#N/A</v>
      </c>
      <c r="U577" s="19">
        <f t="shared" si="91"/>
        <v>83.804000000000016</v>
      </c>
    </row>
    <row r="578" spans="14:21" x14ac:dyDescent="0.25">
      <c r="N578" s="10">
        <v>286</v>
      </c>
      <c r="O578" s="17" t="e">
        <f t="shared" si="87"/>
        <v>#N/A</v>
      </c>
      <c r="P578" s="17">
        <f t="shared" si="92"/>
        <v>286</v>
      </c>
      <c r="Q578" s="19" t="e">
        <f t="shared" si="93"/>
        <v>#N/A</v>
      </c>
      <c r="R578" s="11" t="e">
        <f t="shared" si="88"/>
        <v>#N/A</v>
      </c>
      <c r="S578" s="19" t="e">
        <f t="shared" si="89"/>
        <v>#N/A</v>
      </c>
      <c r="T578" s="19" t="e">
        <f t="shared" si="90"/>
        <v>#N/A</v>
      </c>
      <c r="U578" s="19">
        <f t="shared" si="91"/>
        <v>83.804000000000016</v>
      </c>
    </row>
    <row r="579" spans="14:21" x14ac:dyDescent="0.25">
      <c r="N579" s="10">
        <v>286.5</v>
      </c>
      <c r="O579" s="17" t="e">
        <f t="shared" si="87"/>
        <v>#N/A</v>
      </c>
      <c r="P579" s="17">
        <f t="shared" si="92"/>
        <v>286.5</v>
      </c>
      <c r="Q579" s="19" t="e">
        <f t="shared" si="93"/>
        <v>#N/A</v>
      </c>
      <c r="R579" s="11" t="e">
        <f t="shared" si="88"/>
        <v>#N/A</v>
      </c>
      <c r="S579" s="19" t="e">
        <f t="shared" si="89"/>
        <v>#N/A</v>
      </c>
      <c r="T579" s="19" t="e">
        <f t="shared" si="90"/>
        <v>#N/A</v>
      </c>
      <c r="U579" s="19">
        <f t="shared" si="91"/>
        <v>83.804000000000016</v>
      </c>
    </row>
    <row r="580" spans="14:21" x14ac:dyDescent="0.25">
      <c r="N580" s="10">
        <v>287</v>
      </c>
      <c r="O580" s="17" t="e">
        <f t="shared" si="87"/>
        <v>#N/A</v>
      </c>
      <c r="P580" s="17">
        <f t="shared" si="92"/>
        <v>287</v>
      </c>
      <c r="Q580" s="19" t="e">
        <f t="shared" si="93"/>
        <v>#N/A</v>
      </c>
      <c r="R580" s="11" t="e">
        <f t="shared" si="88"/>
        <v>#N/A</v>
      </c>
      <c r="S580" s="19" t="e">
        <f t="shared" si="89"/>
        <v>#N/A</v>
      </c>
      <c r="T580" s="19" t="e">
        <f t="shared" si="90"/>
        <v>#N/A</v>
      </c>
      <c r="U580" s="19">
        <f t="shared" si="91"/>
        <v>83.804000000000016</v>
      </c>
    </row>
    <row r="581" spans="14:21" x14ac:dyDescent="0.25">
      <c r="N581" s="10">
        <v>287.5</v>
      </c>
      <c r="O581" s="17" t="e">
        <f t="shared" si="87"/>
        <v>#N/A</v>
      </c>
      <c r="P581" s="17">
        <f t="shared" si="92"/>
        <v>287.5</v>
      </c>
      <c r="Q581" s="19" t="e">
        <f t="shared" si="93"/>
        <v>#N/A</v>
      </c>
      <c r="R581" s="11" t="e">
        <f t="shared" si="88"/>
        <v>#N/A</v>
      </c>
      <c r="S581" s="19" t="e">
        <f t="shared" si="89"/>
        <v>#N/A</v>
      </c>
      <c r="T581" s="19" t="e">
        <f t="shared" si="90"/>
        <v>#N/A</v>
      </c>
      <c r="U581" s="19">
        <f t="shared" si="91"/>
        <v>83.804000000000016</v>
      </c>
    </row>
    <row r="582" spans="14:21" x14ac:dyDescent="0.25">
      <c r="N582" s="10">
        <v>288</v>
      </c>
      <c r="O582" s="17" t="e">
        <f t="shared" ref="O582:O645" si="94">IF(N582=0,$B$5,IF(N582&gt;$B$9,NA(),-($B$6-$B$5)*(1-(N582/$B$9))^(0.985*((N582/$B$9)^(-0.625)))+$B$6))</f>
        <v>#N/A</v>
      </c>
      <c r="P582" s="17">
        <f t="shared" si="92"/>
        <v>288</v>
      </c>
      <c r="Q582" s="19" t="e">
        <f t="shared" si="93"/>
        <v>#N/A</v>
      </c>
      <c r="R582" s="11" t="e">
        <f t="shared" ref="R582:R645" si="95">$B$13*($B$8-O582)</f>
        <v>#N/A</v>
      </c>
      <c r="S582" s="19" t="e">
        <f t="shared" ref="S582:S645" si="96">R582*$B$20</f>
        <v>#N/A</v>
      </c>
      <c r="T582" s="19" t="e">
        <f t="shared" ref="T582:T645" si="97">R582*$B$20</f>
        <v>#N/A</v>
      </c>
      <c r="U582" s="19">
        <f t="shared" ref="U582:U645" si="98">$B$21/2</f>
        <v>83.804000000000016</v>
      </c>
    </row>
    <row r="583" spans="14:21" x14ac:dyDescent="0.25">
      <c r="N583" s="10">
        <v>288.5</v>
      </c>
      <c r="O583" s="17" t="e">
        <f t="shared" si="94"/>
        <v>#N/A</v>
      </c>
      <c r="P583" s="17">
        <f t="shared" ref="P583:P606" si="99">N583</f>
        <v>288.5</v>
      </c>
      <c r="Q583" s="19" t="e">
        <f t="shared" si="93"/>
        <v>#N/A</v>
      </c>
      <c r="R583" s="11" t="e">
        <f t="shared" si="95"/>
        <v>#N/A</v>
      </c>
      <c r="S583" s="19" t="e">
        <f t="shared" si="96"/>
        <v>#N/A</v>
      </c>
      <c r="T583" s="19" t="e">
        <f t="shared" si="97"/>
        <v>#N/A</v>
      </c>
      <c r="U583" s="19">
        <f t="shared" si="98"/>
        <v>83.804000000000016</v>
      </c>
    </row>
    <row r="584" spans="14:21" x14ac:dyDescent="0.25">
      <c r="N584" s="10">
        <v>289</v>
      </c>
      <c r="O584" s="17" t="e">
        <f t="shared" si="94"/>
        <v>#N/A</v>
      </c>
      <c r="P584" s="17">
        <f t="shared" si="99"/>
        <v>289</v>
      </c>
      <c r="Q584" s="19" t="e">
        <f t="shared" si="93"/>
        <v>#N/A</v>
      </c>
      <c r="R584" s="11" t="e">
        <f t="shared" si="95"/>
        <v>#N/A</v>
      </c>
      <c r="S584" s="19" t="e">
        <f t="shared" si="96"/>
        <v>#N/A</v>
      </c>
      <c r="T584" s="19" t="e">
        <f t="shared" si="97"/>
        <v>#N/A</v>
      </c>
      <c r="U584" s="19">
        <f t="shared" si="98"/>
        <v>83.804000000000016</v>
      </c>
    </row>
    <row r="585" spans="14:21" x14ac:dyDescent="0.25">
      <c r="N585" s="10">
        <v>289.5</v>
      </c>
      <c r="O585" s="17" t="e">
        <f t="shared" si="94"/>
        <v>#N/A</v>
      </c>
      <c r="P585" s="17">
        <f t="shared" si="99"/>
        <v>289.5</v>
      </c>
      <c r="Q585" s="19" t="e">
        <f t="shared" si="93"/>
        <v>#N/A</v>
      </c>
      <c r="R585" s="11" t="e">
        <f t="shared" si="95"/>
        <v>#N/A</v>
      </c>
      <c r="S585" s="19" t="e">
        <f t="shared" si="96"/>
        <v>#N/A</v>
      </c>
      <c r="T585" s="19" t="e">
        <f t="shared" si="97"/>
        <v>#N/A</v>
      </c>
      <c r="U585" s="19">
        <f t="shared" si="98"/>
        <v>83.804000000000016</v>
      </c>
    </row>
    <row r="586" spans="14:21" x14ac:dyDescent="0.25">
      <c r="N586" s="10">
        <v>290</v>
      </c>
      <c r="O586" s="17" t="e">
        <f t="shared" si="94"/>
        <v>#N/A</v>
      </c>
      <c r="P586" s="17">
        <f t="shared" si="99"/>
        <v>290</v>
      </c>
      <c r="Q586" s="19" t="e">
        <f t="shared" si="93"/>
        <v>#N/A</v>
      </c>
      <c r="R586" s="11" t="e">
        <f t="shared" si="95"/>
        <v>#N/A</v>
      </c>
      <c r="S586" s="19" t="e">
        <f t="shared" si="96"/>
        <v>#N/A</v>
      </c>
      <c r="T586" s="19" t="e">
        <f t="shared" si="97"/>
        <v>#N/A</v>
      </c>
      <c r="U586" s="19">
        <f t="shared" si="98"/>
        <v>83.804000000000016</v>
      </c>
    </row>
    <row r="587" spans="14:21" x14ac:dyDescent="0.25">
      <c r="N587" s="10">
        <v>290.5</v>
      </c>
      <c r="O587" s="17" t="e">
        <f t="shared" si="94"/>
        <v>#N/A</v>
      </c>
      <c r="P587" s="17">
        <f t="shared" si="99"/>
        <v>290.5</v>
      </c>
      <c r="Q587" s="19" t="e">
        <f t="shared" si="93"/>
        <v>#N/A</v>
      </c>
      <c r="R587" s="11" t="e">
        <f t="shared" si="95"/>
        <v>#N/A</v>
      </c>
      <c r="S587" s="19" t="e">
        <f t="shared" si="96"/>
        <v>#N/A</v>
      </c>
      <c r="T587" s="19" t="e">
        <f t="shared" si="97"/>
        <v>#N/A</v>
      </c>
      <c r="U587" s="19">
        <f t="shared" si="98"/>
        <v>83.804000000000016</v>
      </c>
    </row>
    <row r="588" spans="14:21" x14ac:dyDescent="0.25">
      <c r="N588" s="10">
        <v>291</v>
      </c>
      <c r="O588" s="17" t="e">
        <f t="shared" si="94"/>
        <v>#N/A</v>
      </c>
      <c r="P588" s="17">
        <f t="shared" si="99"/>
        <v>291</v>
      </c>
      <c r="Q588" s="19" t="e">
        <f t="shared" si="93"/>
        <v>#N/A</v>
      </c>
      <c r="R588" s="11" t="e">
        <f t="shared" si="95"/>
        <v>#N/A</v>
      </c>
      <c r="S588" s="19" t="e">
        <f t="shared" si="96"/>
        <v>#N/A</v>
      </c>
      <c r="T588" s="19" t="e">
        <f t="shared" si="97"/>
        <v>#N/A</v>
      </c>
      <c r="U588" s="19">
        <f t="shared" si="98"/>
        <v>83.804000000000016</v>
      </c>
    </row>
    <row r="589" spans="14:21" x14ac:dyDescent="0.25">
      <c r="N589" s="10">
        <v>291.5</v>
      </c>
      <c r="O589" s="17" t="e">
        <f t="shared" si="94"/>
        <v>#N/A</v>
      </c>
      <c r="P589" s="17">
        <f t="shared" si="99"/>
        <v>291.5</v>
      </c>
      <c r="Q589" s="19" t="e">
        <f t="shared" si="93"/>
        <v>#N/A</v>
      </c>
      <c r="R589" s="11" t="e">
        <f t="shared" si="95"/>
        <v>#N/A</v>
      </c>
      <c r="S589" s="19" t="e">
        <f t="shared" si="96"/>
        <v>#N/A</v>
      </c>
      <c r="T589" s="19" t="e">
        <f t="shared" si="97"/>
        <v>#N/A</v>
      </c>
      <c r="U589" s="19">
        <f t="shared" si="98"/>
        <v>83.804000000000016</v>
      </c>
    </row>
    <row r="590" spans="14:21" x14ac:dyDescent="0.25">
      <c r="N590" s="10">
        <v>292</v>
      </c>
      <c r="O590" s="17" t="e">
        <f t="shared" si="94"/>
        <v>#N/A</v>
      </c>
      <c r="P590" s="17">
        <f t="shared" si="99"/>
        <v>292</v>
      </c>
      <c r="Q590" s="19" t="e">
        <f t="shared" si="93"/>
        <v>#N/A</v>
      </c>
      <c r="R590" s="11" t="e">
        <f t="shared" si="95"/>
        <v>#N/A</v>
      </c>
      <c r="S590" s="19" t="e">
        <f t="shared" si="96"/>
        <v>#N/A</v>
      </c>
      <c r="T590" s="19" t="e">
        <f t="shared" si="97"/>
        <v>#N/A</v>
      </c>
      <c r="U590" s="19">
        <f t="shared" si="98"/>
        <v>83.804000000000016</v>
      </c>
    </row>
    <row r="591" spans="14:21" x14ac:dyDescent="0.25">
      <c r="N591" s="10">
        <v>292.5</v>
      </c>
      <c r="O591" s="17" t="e">
        <f t="shared" si="94"/>
        <v>#N/A</v>
      </c>
      <c r="P591" s="17">
        <f t="shared" si="99"/>
        <v>292.5</v>
      </c>
      <c r="Q591" s="19" t="e">
        <f t="shared" si="93"/>
        <v>#N/A</v>
      </c>
      <c r="R591" s="11" t="e">
        <f t="shared" si="95"/>
        <v>#N/A</v>
      </c>
      <c r="S591" s="19" t="e">
        <f t="shared" si="96"/>
        <v>#N/A</v>
      </c>
      <c r="T591" s="19" t="e">
        <f t="shared" si="97"/>
        <v>#N/A</v>
      </c>
      <c r="U591" s="19">
        <f t="shared" si="98"/>
        <v>83.804000000000016</v>
      </c>
    </row>
    <row r="592" spans="14:21" x14ac:dyDescent="0.25">
      <c r="N592" s="10">
        <v>293</v>
      </c>
      <c r="O592" s="17" t="e">
        <f t="shared" si="94"/>
        <v>#N/A</v>
      </c>
      <c r="P592" s="17">
        <f t="shared" si="99"/>
        <v>293</v>
      </c>
      <c r="Q592" s="19" t="e">
        <f t="shared" si="93"/>
        <v>#N/A</v>
      </c>
      <c r="R592" s="11" t="e">
        <f t="shared" si="95"/>
        <v>#N/A</v>
      </c>
      <c r="S592" s="19" t="e">
        <f t="shared" si="96"/>
        <v>#N/A</v>
      </c>
      <c r="T592" s="19" t="e">
        <f t="shared" si="97"/>
        <v>#N/A</v>
      </c>
      <c r="U592" s="19">
        <f t="shared" si="98"/>
        <v>83.804000000000016</v>
      </c>
    </row>
    <row r="593" spans="14:21" x14ac:dyDescent="0.25">
      <c r="N593" s="10">
        <v>293.5</v>
      </c>
      <c r="O593" s="17" t="e">
        <f t="shared" si="94"/>
        <v>#N/A</v>
      </c>
      <c r="P593" s="17">
        <f t="shared" si="99"/>
        <v>293.5</v>
      </c>
      <c r="Q593" s="19" t="e">
        <f t="shared" si="93"/>
        <v>#N/A</v>
      </c>
      <c r="R593" s="11" t="e">
        <f t="shared" si="95"/>
        <v>#N/A</v>
      </c>
      <c r="S593" s="19" t="e">
        <f t="shared" si="96"/>
        <v>#N/A</v>
      </c>
      <c r="T593" s="19" t="e">
        <f t="shared" si="97"/>
        <v>#N/A</v>
      </c>
      <c r="U593" s="19">
        <f t="shared" si="98"/>
        <v>83.804000000000016</v>
      </c>
    </row>
    <row r="594" spans="14:21" x14ac:dyDescent="0.25">
      <c r="N594" s="10">
        <v>294</v>
      </c>
      <c r="O594" s="17" t="e">
        <f t="shared" si="94"/>
        <v>#N/A</v>
      </c>
      <c r="P594" s="17">
        <f t="shared" si="99"/>
        <v>294</v>
      </c>
      <c r="Q594" s="19" t="e">
        <f t="shared" si="93"/>
        <v>#N/A</v>
      </c>
      <c r="R594" s="11" t="e">
        <f t="shared" si="95"/>
        <v>#N/A</v>
      </c>
      <c r="S594" s="19" t="e">
        <f t="shared" si="96"/>
        <v>#N/A</v>
      </c>
      <c r="T594" s="19" t="e">
        <f t="shared" si="97"/>
        <v>#N/A</v>
      </c>
      <c r="U594" s="19">
        <f t="shared" si="98"/>
        <v>83.804000000000016</v>
      </c>
    </row>
    <row r="595" spans="14:21" x14ac:dyDescent="0.25">
      <c r="N595" s="10">
        <v>294.5</v>
      </c>
      <c r="O595" s="17" t="e">
        <f t="shared" si="94"/>
        <v>#N/A</v>
      </c>
      <c r="P595" s="17">
        <f t="shared" si="99"/>
        <v>294.5</v>
      </c>
      <c r="Q595" s="19" t="e">
        <f t="shared" si="93"/>
        <v>#N/A</v>
      </c>
      <c r="R595" s="11" t="e">
        <f t="shared" si="95"/>
        <v>#N/A</v>
      </c>
      <c r="S595" s="19" t="e">
        <f t="shared" si="96"/>
        <v>#N/A</v>
      </c>
      <c r="T595" s="19" t="e">
        <f t="shared" si="97"/>
        <v>#N/A</v>
      </c>
      <c r="U595" s="19">
        <f t="shared" si="98"/>
        <v>83.804000000000016</v>
      </c>
    </row>
    <row r="596" spans="14:21" x14ac:dyDescent="0.25">
      <c r="N596" s="10">
        <v>295</v>
      </c>
      <c r="O596" s="17" t="e">
        <f t="shared" si="94"/>
        <v>#N/A</v>
      </c>
      <c r="P596" s="17">
        <f t="shared" si="99"/>
        <v>295</v>
      </c>
      <c r="Q596" s="19" t="e">
        <f t="shared" si="93"/>
        <v>#N/A</v>
      </c>
      <c r="R596" s="11" t="e">
        <f t="shared" si="95"/>
        <v>#N/A</v>
      </c>
      <c r="S596" s="19" t="e">
        <f t="shared" si="96"/>
        <v>#N/A</v>
      </c>
      <c r="T596" s="19" t="e">
        <f t="shared" si="97"/>
        <v>#N/A</v>
      </c>
      <c r="U596" s="19">
        <f t="shared" si="98"/>
        <v>83.804000000000016</v>
      </c>
    </row>
    <row r="597" spans="14:21" x14ac:dyDescent="0.25">
      <c r="N597" s="10">
        <v>295.5</v>
      </c>
      <c r="O597" s="17" t="e">
        <f t="shared" si="94"/>
        <v>#N/A</v>
      </c>
      <c r="P597" s="17">
        <f t="shared" si="99"/>
        <v>295.5</v>
      </c>
      <c r="Q597" s="19" t="e">
        <f t="shared" si="93"/>
        <v>#N/A</v>
      </c>
      <c r="R597" s="11" t="e">
        <f t="shared" si="95"/>
        <v>#N/A</v>
      </c>
      <c r="S597" s="19" t="e">
        <f t="shared" si="96"/>
        <v>#N/A</v>
      </c>
      <c r="T597" s="19" t="e">
        <f t="shared" si="97"/>
        <v>#N/A</v>
      </c>
      <c r="U597" s="19">
        <f t="shared" si="98"/>
        <v>83.804000000000016</v>
      </c>
    </row>
    <row r="598" spans="14:21" x14ac:dyDescent="0.25">
      <c r="N598" s="10">
        <v>296</v>
      </c>
      <c r="O598" s="17" t="e">
        <f t="shared" si="94"/>
        <v>#N/A</v>
      </c>
      <c r="P598" s="17">
        <f t="shared" si="99"/>
        <v>296</v>
      </c>
      <c r="Q598" s="19" t="e">
        <f t="shared" si="93"/>
        <v>#N/A</v>
      </c>
      <c r="R598" s="11" t="e">
        <f t="shared" si="95"/>
        <v>#N/A</v>
      </c>
      <c r="S598" s="19" t="e">
        <f t="shared" si="96"/>
        <v>#N/A</v>
      </c>
      <c r="T598" s="19" t="e">
        <f t="shared" si="97"/>
        <v>#N/A</v>
      </c>
      <c r="U598" s="19">
        <f t="shared" si="98"/>
        <v>83.804000000000016</v>
      </c>
    </row>
    <row r="599" spans="14:21" x14ac:dyDescent="0.25">
      <c r="N599" s="10">
        <v>296.5</v>
      </c>
      <c r="O599" s="17" t="e">
        <f t="shared" si="94"/>
        <v>#N/A</v>
      </c>
      <c r="P599" s="17">
        <f t="shared" si="99"/>
        <v>296.5</v>
      </c>
      <c r="Q599" s="19" t="e">
        <f t="shared" si="93"/>
        <v>#N/A</v>
      </c>
      <c r="R599" s="11" t="e">
        <f t="shared" si="95"/>
        <v>#N/A</v>
      </c>
      <c r="S599" s="19" t="e">
        <f t="shared" si="96"/>
        <v>#N/A</v>
      </c>
      <c r="T599" s="19" t="e">
        <f t="shared" si="97"/>
        <v>#N/A</v>
      </c>
      <c r="U599" s="19">
        <f t="shared" si="98"/>
        <v>83.804000000000016</v>
      </c>
    </row>
    <row r="600" spans="14:21" x14ac:dyDescent="0.25">
      <c r="N600" s="10">
        <v>297</v>
      </c>
      <c r="O600" s="17" t="e">
        <f t="shared" si="94"/>
        <v>#N/A</v>
      </c>
      <c r="P600" s="17">
        <f t="shared" si="99"/>
        <v>297</v>
      </c>
      <c r="Q600" s="19" t="e">
        <f t="shared" si="93"/>
        <v>#N/A</v>
      </c>
      <c r="R600" s="11" t="e">
        <f t="shared" si="95"/>
        <v>#N/A</v>
      </c>
      <c r="S600" s="19" t="e">
        <f t="shared" si="96"/>
        <v>#N/A</v>
      </c>
      <c r="T600" s="19" t="e">
        <f t="shared" si="97"/>
        <v>#N/A</v>
      </c>
      <c r="U600" s="19">
        <f t="shared" si="98"/>
        <v>83.804000000000016</v>
      </c>
    </row>
    <row r="601" spans="14:21" x14ac:dyDescent="0.25">
      <c r="N601" s="10">
        <v>297.5</v>
      </c>
      <c r="O601" s="17" t="e">
        <f t="shared" si="94"/>
        <v>#N/A</v>
      </c>
      <c r="P601" s="17">
        <f t="shared" si="99"/>
        <v>297.5</v>
      </c>
      <c r="Q601" s="19" t="e">
        <f t="shared" si="93"/>
        <v>#N/A</v>
      </c>
      <c r="R601" s="11" t="e">
        <f t="shared" si="95"/>
        <v>#N/A</v>
      </c>
      <c r="S601" s="19" t="e">
        <f t="shared" si="96"/>
        <v>#N/A</v>
      </c>
      <c r="T601" s="19" t="e">
        <f t="shared" si="97"/>
        <v>#N/A</v>
      </c>
      <c r="U601" s="19">
        <f t="shared" si="98"/>
        <v>83.804000000000016</v>
      </c>
    </row>
    <row r="602" spans="14:21" x14ac:dyDescent="0.25">
      <c r="N602" s="10">
        <v>298</v>
      </c>
      <c r="O602" s="17" t="e">
        <f t="shared" si="94"/>
        <v>#N/A</v>
      </c>
      <c r="P602" s="17">
        <f t="shared" si="99"/>
        <v>298</v>
      </c>
      <c r="Q602" s="19" t="e">
        <f t="shared" si="93"/>
        <v>#N/A</v>
      </c>
      <c r="R602" s="11" t="e">
        <f t="shared" si="95"/>
        <v>#N/A</v>
      </c>
      <c r="S602" s="19" t="e">
        <f t="shared" si="96"/>
        <v>#N/A</v>
      </c>
      <c r="T602" s="19" t="e">
        <f t="shared" si="97"/>
        <v>#N/A</v>
      </c>
      <c r="U602" s="19">
        <f t="shared" si="98"/>
        <v>83.804000000000016</v>
      </c>
    </row>
    <row r="603" spans="14:21" x14ac:dyDescent="0.25">
      <c r="N603" s="10">
        <v>298.5</v>
      </c>
      <c r="O603" s="17" t="e">
        <f t="shared" si="94"/>
        <v>#N/A</v>
      </c>
      <c r="P603" s="17">
        <f t="shared" si="99"/>
        <v>298.5</v>
      </c>
      <c r="Q603" s="19" t="e">
        <f t="shared" si="93"/>
        <v>#N/A</v>
      </c>
      <c r="R603" s="11" t="e">
        <f t="shared" si="95"/>
        <v>#N/A</v>
      </c>
      <c r="S603" s="19" t="e">
        <f t="shared" si="96"/>
        <v>#N/A</v>
      </c>
      <c r="T603" s="19" t="e">
        <f t="shared" si="97"/>
        <v>#N/A</v>
      </c>
      <c r="U603" s="19">
        <f t="shared" si="98"/>
        <v>83.804000000000016</v>
      </c>
    </row>
    <row r="604" spans="14:21" x14ac:dyDescent="0.25">
      <c r="N604" s="10">
        <v>299</v>
      </c>
      <c r="O604" s="17" t="e">
        <f t="shared" si="94"/>
        <v>#N/A</v>
      </c>
      <c r="P604" s="17">
        <f t="shared" si="99"/>
        <v>299</v>
      </c>
      <c r="Q604" s="19" t="e">
        <f t="shared" si="93"/>
        <v>#N/A</v>
      </c>
      <c r="R604" s="11" t="e">
        <f t="shared" si="95"/>
        <v>#N/A</v>
      </c>
      <c r="S604" s="19" t="e">
        <f t="shared" si="96"/>
        <v>#N/A</v>
      </c>
      <c r="T604" s="19" t="e">
        <f t="shared" si="97"/>
        <v>#N/A</v>
      </c>
      <c r="U604" s="19">
        <f t="shared" si="98"/>
        <v>83.804000000000016</v>
      </c>
    </row>
    <row r="605" spans="14:21" x14ac:dyDescent="0.25">
      <c r="N605" s="10">
        <v>299.5</v>
      </c>
      <c r="O605" s="17" t="e">
        <f t="shared" si="94"/>
        <v>#N/A</v>
      </c>
      <c r="P605" s="17">
        <f t="shared" si="99"/>
        <v>299.5</v>
      </c>
      <c r="Q605" s="19" t="e">
        <f t="shared" si="93"/>
        <v>#N/A</v>
      </c>
      <c r="R605" s="11" t="e">
        <f t="shared" si="95"/>
        <v>#N/A</v>
      </c>
      <c r="S605" s="19" t="e">
        <f t="shared" si="96"/>
        <v>#N/A</v>
      </c>
      <c r="T605" s="19" t="e">
        <f t="shared" si="97"/>
        <v>#N/A</v>
      </c>
      <c r="U605" s="19">
        <f t="shared" si="98"/>
        <v>83.804000000000016</v>
      </c>
    </row>
    <row r="606" spans="14:21" x14ac:dyDescent="0.25">
      <c r="N606" s="10">
        <v>300</v>
      </c>
      <c r="O606" s="17" t="e">
        <f t="shared" si="94"/>
        <v>#N/A</v>
      </c>
      <c r="P606" s="17">
        <f t="shared" si="99"/>
        <v>300</v>
      </c>
      <c r="Q606" s="19" t="e">
        <f t="shared" si="93"/>
        <v>#N/A</v>
      </c>
      <c r="R606" s="11" t="e">
        <f t="shared" si="95"/>
        <v>#N/A</v>
      </c>
      <c r="S606" s="19" t="e">
        <f t="shared" si="96"/>
        <v>#N/A</v>
      </c>
      <c r="T606" s="19" t="e">
        <f t="shared" si="97"/>
        <v>#N/A</v>
      </c>
      <c r="U606" s="19">
        <f t="shared" si="98"/>
        <v>83.804000000000016</v>
      </c>
    </row>
    <row r="607" spans="14:21" x14ac:dyDescent="0.25">
      <c r="N607" s="10">
        <v>301</v>
      </c>
      <c r="O607" s="17" t="e">
        <f t="shared" si="94"/>
        <v>#N/A</v>
      </c>
      <c r="P607" s="17">
        <f t="shared" ref="P607:P670" si="100">N607</f>
        <v>301</v>
      </c>
      <c r="Q607" s="19" t="e">
        <f t="shared" ref="Q607:Q670" si="101" xml:space="preserve"> -0.0232*O607^3 + 0.296*O607^2 + 12.396*O607 + 74.648</f>
        <v>#N/A</v>
      </c>
      <c r="R607" s="11" t="e">
        <f t="shared" si="95"/>
        <v>#N/A</v>
      </c>
      <c r="S607" s="19" t="e">
        <f t="shared" si="96"/>
        <v>#N/A</v>
      </c>
      <c r="T607" s="19" t="e">
        <f t="shared" si="97"/>
        <v>#N/A</v>
      </c>
      <c r="U607" s="19">
        <f t="shared" si="98"/>
        <v>83.804000000000016</v>
      </c>
    </row>
    <row r="608" spans="14:21" x14ac:dyDescent="0.25">
      <c r="N608" s="10">
        <v>302</v>
      </c>
      <c r="O608" s="17" t="e">
        <f t="shared" si="94"/>
        <v>#N/A</v>
      </c>
      <c r="P608" s="17">
        <f t="shared" si="100"/>
        <v>302</v>
      </c>
      <c r="Q608" s="19" t="e">
        <f t="shared" si="101"/>
        <v>#N/A</v>
      </c>
      <c r="R608" s="11" t="e">
        <f t="shared" si="95"/>
        <v>#N/A</v>
      </c>
      <c r="S608" s="19" t="e">
        <f t="shared" si="96"/>
        <v>#N/A</v>
      </c>
      <c r="T608" s="19" t="e">
        <f t="shared" si="97"/>
        <v>#N/A</v>
      </c>
      <c r="U608" s="19">
        <f t="shared" si="98"/>
        <v>83.804000000000016</v>
      </c>
    </row>
    <row r="609" spans="14:21" x14ac:dyDescent="0.25">
      <c r="N609" s="10">
        <v>303</v>
      </c>
      <c r="O609" s="17" t="e">
        <f t="shared" si="94"/>
        <v>#N/A</v>
      </c>
      <c r="P609" s="17">
        <f t="shared" si="100"/>
        <v>303</v>
      </c>
      <c r="Q609" s="19" t="e">
        <f t="shared" si="101"/>
        <v>#N/A</v>
      </c>
      <c r="R609" s="11" t="e">
        <f t="shared" si="95"/>
        <v>#N/A</v>
      </c>
      <c r="S609" s="19" t="e">
        <f t="shared" si="96"/>
        <v>#N/A</v>
      </c>
      <c r="T609" s="19" t="e">
        <f t="shared" si="97"/>
        <v>#N/A</v>
      </c>
      <c r="U609" s="19">
        <f t="shared" si="98"/>
        <v>83.804000000000016</v>
      </c>
    </row>
    <row r="610" spans="14:21" x14ac:dyDescent="0.25">
      <c r="N610" s="10">
        <v>304</v>
      </c>
      <c r="O610" s="17" t="e">
        <f t="shared" si="94"/>
        <v>#N/A</v>
      </c>
      <c r="P610" s="17">
        <f t="shared" si="100"/>
        <v>304</v>
      </c>
      <c r="Q610" s="19" t="e">
        <f t="shared" si="101"/>
        <v>#N/A</v>
      </c>
      <c r="R610" s="11" t="e">
        <f t="shared" si="95"/>
        <v>#N/A</v>
      </c>
      <c r="S610" s="19" t="e">
        <f t="shared" si="96"/>
        <v>#N/A</v>
      </c>
      <c r="T610" s="19" t="e">
        <f t="shared" si="97"/>
        <v>#N/A</v>
      </c>
      <c r="U610" s="19">
        <f t="shared" si="98"/>
        <v>83.804000000000016</v>
      </c>
    </row>
    <row r="611" spans="14:21" x14ac:dyDescent="0.25">
      <c r="N611" s="10">
        <v>305</v>
      </c>
      <c r="O611" s="17" t="e">
        <f t="shared" si="94"/>
        <v>#N/A</v>
      </c>
      <c r="P611" s="17">
        <f t="shared" si="100"/>
        <v>305</v>
      </c>
      <c r="Q611" s="19" t="e">
        <f t="shared" si="101"/>
        <v>#N/A</v>
      </c>
      <c r="R611" s="11" t="e">
        <f t="shared" si="95"/>
        <v>#N/A</v>
      </c>
      <c r="S611" s="19" t="e">
        <f t="shared" si="96"/>
        <v>#N/A</v>
      </c>
      <c r="T611" s="19" t="e">
        <f t="shared" si="97"/>
        <v>#N/A</v>
      </c>
      <c r="U611" s="19">
        <f t="shared" si="98"/>
        <v>83.804000000000016</v>
      </c>
    </row>
    <row r="612" spans="14:21" x14ac:dyDescent="0.25">
      <c r="N612" s="10">
        <v>306</v>
      </c>
      <c r="O612" s="17" t="e">
        <f t="shared" si="94"/>
        <v>#N/A</v>
      </c>
      <c r="P612" s="17">
        <f t="shared" si="100"/>
        <v>306</v>
      </c>
      <c r="Q612" s="19" t="e">
        <f t="shared" si="101"/>
        <v>#N/A</v>
      </c>
      <c r="R612" s="11" t="e">
        <f t="shared" si="95"/>
        <v>#N/A</v>
      </c>
      <c r="S612" s="19" t="e">
        <f t="shared" si="96"/>
        <v>#N/A</v>
      </c>
      <c r="T612" s="19" t="e">
        <f t="shared" si="97"/>
        <v>#N/A</v>
      </c>
      <c r="U612" s="19">
        <f t="shared" si="98"/>
        <v>83.804000000000016</v>
      </c>
    </row>
    <row r="613" spans="14:21" x14ac:dyDescent="0.25">
      <c r="N613" s="10">
        <v>307</v>
      </c>
      <c r="O613" s="17" t="e">
        <f t="shared" si="94"/>
        <v>#N/A</v>
      </c>
      <c r="P613" s="17">
        <f t="shared" si="100"/>
        <v>307</v>
      </c>
      <c r="Q613" s="19" t="e">
        <f t="shared" si="101"/>
        <v>#N/A</v>
      </c>
      <c r="R613" s="11" t="e">
        <f t="shared" si="95"/>
        <v>#N/A</v>
      </c>
      <c r="S613" s="19" t="e">
        <f t="shared" si="96"/>
        <v>#N/A</v>
      </c>
      <c r="T613" s="19" t="e">
        <f t="shared" si="97"/>
        <v>#N/A</v>
      </c>
      <c r="U613" s="19">
        <f t="shared" si="98"/>
        <v>83.804000000000016</v>
      </c>
    </row>
    <row r="614" spans="14:21" x14ac:dyDescent="0.25">
      <c r="N614" s="10">
        <v>308</v>
      </c>
      <c r="O614" s="17" t="e">
        <f t="shared" si="94"/>
        <v>#N/A</v>
      </c>
      <c r="P614" s="17">
        <f t="shared" si="100"/>
        <v>308</v>
      </c>
      <c r="Q614" s="19" t="e">
        <f t="shared" si="101"/>
        <v>#N/A</v>
      </c>
      <c r="R614" s="11" t="e">
        <f t="shared" si="95"/>
        <v>#N/A</v>
      </c>
      <c r="S614" s="19" t="e">
        <f t="shared" si="96"/>
        <v>#N/A</v>
      </c>
      <c r="T614" s="19" t="e">
        <f t="shared" si="97"/>
        <v>#N/A</v>
      </c>
      <c r="U614" s="19">
        <f t="shared" si="98"/>
        <v>83.804000000000016</v>
      </c>
    </row>
    <row r="615" spans="14:21" x14ac:dyDescent="0.25">
      <c r="N615" s="10">
        <v>309</v>
      </c>
      <c r="O615" s="17" t="e">
        <f t="shared" si="94"/>
        <v>#N/A</v>
      </c>
      <c r="P615" s="17">
        <f t="shared" si="100"/>
        <v>309</v>
      </c>
      <c r="Q615" s="19" t="e">
        <f t="shared" si="101"/>
        <v>#N/A</v>
      </c>
      <c r="R615" s="11" t="e">
        <f t="shared" si="95"/>
        <v>#N/A</v>
      </c>
      <c r="S615" s="19" t="e">
        <f t="shared" si="96"/>
        <v>#N/A</v>
      </c>
      <c r="T615" s="19" t="e">
        <f t="shared" si="97"/>
        <v>#N/A</v>
      </c>
      <c r="U615" s="19">
        <f t="shared" si="98"/>
        <v>83.804000000000016</v>
      </c>
    </row>
    <row r="616" spans="14:21" x14ac:dyDescent="0.25">
      <c r="N616" s="10">
        <v>310</v>
      </c>
      <c r="O616" s="17" t="e">
        <f t="shared" si="94"/>
        <v>#N/A</v>
      </c>
      <c r="P616" s="17">
        <f t="shared" si="100"/>
        <v>310</v>
      </c>
      <c r="Q616" s="19" t="e">
        <f t="shared" si="101"/>
        <v>#N/A</v>
      </c>
      <c r="R616" s="11" t="e">
        <f t="shared" si="95"/>
        <v>#N/A</v>
      </c>
      <c r="S616" s="19" t="e">
        <f t="shared" si="96"/>
        <v>#N/A</v>
      </c>
      <c r="T616" s="19" t="e">
        <f t="shared" si="97"/>
        <v>#N/A</v>
      </c>
      <c r="U616" s="19">
        <f t="shared" si="98"/>
        <v>83.804000000000016</v>
      </c>
    </row>
    <row r="617" spans="14:21" x14ac:dyDescent="0.25">
      <c r="N617" s="10">
        <v>311</v>
      </c>
      <c r="O617" s="17" t="e">
        <f t="shared" si="94"/>
        <v>#N/A</v>
      </c>
      <c r="P617" s="17">
        <f t="shared" si="100"/>
        <v>311</v>
      </c>
      <c r="Q617" s="19" t="e">
        <f t="shared" si="101"/>
        <v>#N/A</v>
      </c>
      <c r="R617" s="11" t="e">
        <f t="shared" si="95"/>
        <v>#N/A</v>
      </c>
      <c r="S617" s="19" t="e">
        <f t="shared" si="96"/>
        <v>#N/A</v>
      </c>
      <c r="T617" s="19" t="e">
        <f t="shared" si="97"/>
        <v>#N/A</v>
      </c>
      <c r="U617" s="19">
        <f t="shared" si="98"/>
        <v>83.804000000000016</v>
      </c>
    </row>
    <row r="618" spans="14:21" x14ac:dyDescent="0.25">
      <c r="N618" s="10">
        <v>312</v>
      </c>
      <c r="O618" s="17" t="e">
        <f t="shared" si="94"/>
        <v>#N/A</v>
      </c>
      <c r="P618" s="17">
        <f t="shared" si="100"/>
        <v>312</v>
      </c>
      <c r="Q618" s="19" t="e">
        <f t="shared" si="101"/>
        <v>#N/A</v>
      </c>
      <c r="R618" s="11" t="e">
        <f t="shared" si="95"/>
        <v>#N/A</v>
      </c>
      <c r="S618" s="19" t="e">
        <f t="shared" si="96"/>
        <v>#N/A</v>
      </c>
      <c r="T618" s="19" t="e">
        <f t="shared" si="97"/>
        <v>#N/A</v>
      </c>
      <c r="U618" s="19">
        <f t="shared" si="98"/>
        <v>83.804000000000016</v>
      </c>
    </row>
    <row r="619" spans="14:21" x14ac:dyDescent="0.25">
      <c r="N619" s="10">
        <v>313</v>
      </c>
      <c r="O619" s="17" t="e">
        <f t="shared" si="94"/>
        <v>#N/A</v>
      </c>
      <c r="P619" s="17">
        <f t="shared" si="100"/>
        <v>313</v>
      </c>
      <c r="Q619" s="19" t="e">
        <f t="shared" si="101"/>
        <v>#N/A</v>
      </c>
      <c r="R619" s="11" t="e">
        <f t="shared" si="95"/>
        <v>#N/A</v>
      </c>
      <c r="S619" s="19" t="e">
        <f t="shared" si="96"/>
        <v>#N/A</v>
      </c>
      <c r="T619" s="19" t="e">
        <f t="shared" si="97"/>
        <v>#N/A</v>
      </c>
      <c r="U619" s="19">
        <f t="shared" si="98"/>
        <v>83.804000000000016</v>
      </c>
    </row>
    <row r="620" spans="14:21" x14ac:dyDescent="0.25">
      <c r="N620" s="10">
        <v>314</v>
      </c>
      <c r="O620" s="17" t="e">
        <f t="shared" si="94"/>
        <v>#N/A</v>
      </c>
      <c r="P620" s="17">
        <f t="shared" si="100"/>
        <v>314</v>
      </c>
      <c r="Q620" s="19" t="e">
        <f t="shared" si="101"/>
        <v>#N/A</v>
      </c>
      <c r="R620" s="11" t="e">
        <f t="shared" si="95"/>
        <v>#N/A</v>
      </c>
      <c r="S620" s="19" t="e">
        <f t="shared" si="96"/>
        <v>#N/A</v>
      </c>
      <c r="T620" s="19" t="e">
        <f t="shared" si="97"/>
        <v>#N/A</v>
      </c>
      <c r="U620" s="19">
        <f t="shared" si="98"/>
        <v>83.804000000000016</v>
      </c>
    </row>
    <row r="621" spans="14:21" x14ac:dyDescent="0.25">
      <c r="N621" s="10">
        <v>315</v>
      </c>
      <c r="O621" s="17" t="e">
        <f t="shared" si="94"/>
        <v>#N/A</v>
      </c>
      <c r="P621" s="17">
        <f t="shared" si="100"/>
        <v>315</v>
      </c>
      <c r="Q621" s="19" t="e">
        <f t="shared" si="101"/>
        <v>#N/A</v>
      </c>
      <c r="R621" s="11" t="e">
        <f t="shared" si="95"/>
        <v>#N/A</v>
      </c>
      <c r="S621" s="19" t="e">
        <f t="shared" si="96"/>
        <v>#N/A</v>
      </c>
      <c r="T621" s="19" t="e">
        <f t="shared" si="97"/>
        <v>#N/A</v>
      </c>
      <c r="U621" s="19">
        <f t="shared" si="98"/>
        <v>83.804000000000016</v>
      </c>
    </row>
    <row r="622" spans="14:21" x14ac:dyDescent="0.25">
      <c r="N622" s="10">
        <v>316</v>
      </c>
      <c r="O622" s="17" t="e">
        <f t="shared" si="94"/>
        <v>#N/A</v>
      </c>
      <c r="P622" s="17">
        <f t="shared" si="100"/>
        <v>316</v>
      </c>
      <c r="Q622" s="19" t="e">
        <f t="shared" si="101"/>
        <v>#N/A</v>
      </c>
      <c r="R622" s="11" t="e">
        <f t="shared" si="95"/>
        <v>#N/A</v>
      </c>
      <c r="S622" s="19" t="e">
        <f t="shared" si="96"/>
        <v>#N/A</v>
      </c>
      <c r="T622" s="19" t="e">
        <f t="shared" si="97"/>
        <v>#N/A</v>
      </c>
      <c r="U622" s="19">
        <f t="shared" si="98"/>
        <v>83.804000000000016</v>
      </c>
    </row>
    <row r="623" spans="14:21" x14ac:dyDescent="0.25">
      <c r="N623" s="10">
        <v>317</v>
      </c>
      <c r="O623" s="17" t="e">
        <f t="shared" si="94"/>
        <v>#N/A</v>
      </c>
      <c r="P623" s="17">
        <f t="shared" si="100"/>
        <v>317</v>
      </c>
      <c r="Q623" s="19" t="e">
        <f t="shared" si="101"/>
        <v>#N/A</v>
      </c>
      <c r="R623" s="11" t="e">
        <f t="shared" si="95"/>
        <v>#N/A</v>
      </c>
      <c r="S623" s="19" t="e">
        <f t="shared" si="96"/>
        <v>#N/A</v>
      </c>
      <c r="T623" s="19" t="e">
        <f t="shared" si="97"/>
        <v>#N/A</v>
      </c>
      <c r="U623" s="19">
        <f t="shared" si="98"/>
        <v>83.804000000000016</v>
      </c>
    </row>
    <row r="624" spans="14:21" x14ac:dyDescent="0.25">
      <c r="N624" s="10">
        <v>318</v>
      </c>
      <c r="O624" s="17" t="e">
        <f t="shared" si="94"/>
        <v>#N/A</v>
      </c>
      <c r="P624" s="17">
        <f t="shared" si="100"/>
        <v>318</v>
      </c>
      <c r="Q624" s="19" t="e">
        <f t="shared" si="101"/>
        <v>#N/A</v>
      </c>
      <c r="R624" s="11" t="e">
        <f t="shared" si="95"/>
        <v>#N/A</v>
      </c>
      <c r="S624" s="19" t="e">
        <f t="shared" si="96"/>
        <v>#N/A</v>
      </c>
      <c r="T624" s="19" t="e">
        <f t="shared" si="97"/>
        <v>#N/A</v>
      </c>
      <c r="U624" s="19">
        <f t="shared" si="98"/>
        <v>83.804000000000016</v>
      </c>
    </row>
    <row r="625" spans="14:21" x14ac:dyDescent="0.25">
      <c r="N625" s="10">
        <v>319</v>
      </c>
      <c r="O625" s="17" t="e">
        <f t="shared" si="94"/>
        <v>#N/A</v>
      </c>
      <c r="P625" s="17">
        <f t="shared" si="100"/>
        <v>319</v>
      </c>
      <c r="Q625" s="19" t="e">
        <f t="shared" si="101"/>
        <v>#N/A</v>
      </c>
      <c r="R625" s="11" t="e">
        <f t="shared" si="95"/>
        <v>#N/A</v>
      </c>
      <c r="S625" s="19" t="e">
        <f t="shared" si="96"/>
        <v>#N/A</v>
      </c>
      <c r="T625" s="19" t="e">
        <f t="shared" si="97"/>
        <v>#N/A</v>
      </c>
      <c r="U625" s="19">
        <f t="shared" si="98"/>
        <v>83.804000000000016</v>
      </c>
    </row>
    <row r="626" spans="14:21" x14ac:dyDescent="0.25">
      <c r="N626" s="10">
        <v>320</v>
      </c>
      <c r="O626" s="17" t="e">
        <f t="shared" si="94"/>
        <v>#N/A</v>
      </c>
      <c r="P626" s="17">
        <f t="shared" si="100"/>
        <v>320</v>
      </c>
      <c r="Q626" s="19" t="e">
        <f t="shared" si="101"/>
        <v>#N/A</v>
      </c>
      <c r="R626" s="11" t="e">
        <f t="shared" si="95"/>
        <v>#N/A</v>
      </c>
      <c r="S626" s="19" t="e">
        <f t="shared" si="96"/>
        <v>#N/A</v>
      </c>
      <c r="T626" s="19" t="e">
        <f t="shared" si="97"/>
        <v>#N/A</v>
      </c>
      <c r="U626" s="19">
        <f t="shared" si="98"/>
        <v>83.804000000000016</v>
      </c>
    </row>
    <row r="627" spans="14:21" x14ac:dyDescent="0.25">
      <c r="N627" s="10">
        <v>321</v>
      </c>
      <c r="O627" s="17" t="e">
        <f t="shared" si="94"/>
        <v>#N/A</v>
      </c>
      <c r="P627" s="17">
        <f t="shared" si="100"/>
        <v>321</v>
      </c>
      <c r="Q627" s="19" t="e">
        <f t="shared" si="101"/>
        <v>#N/A</v>
      </c>
      <c r="R627" s="11" t="e">
        <f t="shared" si="95"/>
        <v>#N/A</v>
      </c>
      <c r="S627" s="19" t="e">
        <f t="shared" si="96"/>
        <v>#N/A</v>
      </c>
      <c r="T627" s="19" t="e">
        <f t="shared" si="97"/>
        <v>#N/A</v>
      </c>
      <c r="U627" s="19">
        <f t="shared" si="98"/>
        <v>83.804000000000016</v>
      </c>
    </row>
    <row r="628" spans="14:21" x14ac:dyDescent="0.25">
      <c r="N628" s="10">
        <v>322</v>
      </c>
      <c r="O628" s="17" t="e">
        <f t="shared" si="94"/>
        <v>#N/A</v>
      </c>
      <c r="P628" s="17">
        <f t="shared" si="100"/>
        <v>322</v>
      </c>
      <c r="Q628" s="19" t="e">
        <f t="shared" si="101"/>
        <v>#N/A</v>
      </c>
      <c r="R628" s="11" t="e">
        <f t="shared" si="95"/>
        <v>#N/A</v>
      </c>
      <c r="S628" s="19" t="e">
        <f t="shared" si="96"/>
        <v>#N/A</v>
      </c>
      <c r="T628" s="19" t="e">
        <f t="shared" si="97"/>
        <v>#N/A</v>
      </c>
      <c r="U628" s="19">
        <f t="shared" si="98"/>
        <v>83.804000000000016</v>
      </c>
    </row>
    <row r="629" spans="14:21" x14ac:dyDescent="0.25">
      <c r="N629" s="10">
        <v>323</v>
      </c>
      <c r="O629" s="17" t="e">
        <f t="shared" si="94"/>
        <v>#N/A</v>
      </c>
      <c r="P629" s="17">
        <f t="shared" si="100"/>
        <v>323</v>
      </c>
      <c r="Q629" s="19" t="e">
        <f t="shared" si="101"/>
        <v>#N/A</v>
      </c>
      <c r="R629" s="11" t="e">
        <f t="shared" si="95"/>
        <v>#N/A</v>
      </c>
      <c r="S629" s="19" t="e">
        <f t="shared" si="96"/>
        <v>#N/A</v>
      </c>
      <c r="T629" s="19" t="e">
        <f t="shared" si="97"/>
        <v>#N/A</v>
      </c>
      <c r="U629" s="19">
        <f t="shared" si="98"/>
        <v>83.804000000000016</v>
      </c>
    </row>
    <row r="630" spans="14:21" x14ac:dyDescent="0.25">
      <c r="N630" s="10">
        <v>324</v>
      </c>
      <c r="O630" s="17" t="e">
        <f t="shared" si="94"/>
        <v>#N/A</v>
      </c>
      <c r="P630" s="17">
        <f t="shared" si="100"/>
        <v>324</v>
      </c>
      <c r="Q630" s="19" t="e">
        <f t="shared" si="101"/>
        <v>#N/A</v>
      </c>
      <c r="R630" s="11" t="e">
        <f t="shared" si="95"/>
        <v>#N/A</v>
      </c>
      <c r="S630" s="19" t="e">
        <f t="shared" si="96"/>
        <v>#N/A</v>
      </c>
      <c r="T630" s="19" t="e">
        <f t="shared" si="97"/>
        <v>#N/A</v>
      </c>
      <c r="U630" s="19">
        <f t="shared" si="98"/>
        <v>83.804000000000016</v>
      </c>
    </row>
    <row r="631" spans="14:21" x14ac:dyDescent="0.25">
      <c r="N631" s="10">
        <v>325</v>
      </c>
      <c r="O631" s="17" t="e">
        <f t="shared" si="94"/>
        <v>#N/A</v>
      </c>
      <c r="P631" s="17">
        <f t="shared" si="100"/>
        <v>325</v>
      </c>
      <c r="Q631" s="19" t="e">
        <f t="shared" si="101"/>
        <v>#N/A</v>
      </c>
      <c r="R631" s="11" t="e">
        <f t="shared" si="95"/>
        <v>#N/A</v>
      </c>
      <c r="S631" s="19" t="e">
        <f t="shared" si="96"/>
        <v>#N/A</v>
      </c>
      <c r="T631" s="19" t="e">
        <f t="shared" si="97"/>
        <v>#N/A</v>
      </c>
      <c r="U631" s="19">
        <f t="shared" si="98"/>
        <v>83.804000000000016</v>
      </c>
    </row>
    <row r="632" spans="14:21" x14ac:dyDescent="0.25">
      <c r="N632" s="10">
        <v>326</v>
      </c>
      <c r="O632" s="17" t="e">
        <f t="shared" si="94"/>
        <v>#N/A</v>
      </c>
      <c r="P632" s="17">
        <f t="shared" si="100"/>
        <v>326</v>
      </c>
      <c r="Q632" s="19" t="e">
        <f t="shared" si="101"/>
        <v>#N/A</v>
      </c>
      <c r="R632" s="11" t="e">
        <f t="shared" si="95"/>
        <v>#N/A</v>
      </c>
      <c r="S632" s="19" t="e">
        <f t="shared" si="96"/>
        <v>#N/A</v>
      </c>
      <c r="T632" s="19" t="e">
        <f t="shared" si="97"/>
        <v>#N/A</v>
      </c>
      <c r="U632" s="19">
        <f t="shared" si="98"/>
        <v>83.804000000000016</v>
      </c>
    </row>
    <row r="633" spans="14:21" x14ac:dyDescent="0.25">
      <c r="N633" s="10">
        <v>327</v>
      </c>
      <c r="O633" s="17" t="e">
        <f t="shared" si="94"/>
        <v>#N/A</v>
      </c>
      <c r="P633" s="17">
        <f t="shared" si="100"/>
        <v>327</v>
      </c>
      <c r="Q633" s="19" t="e">
        <f t="shared" si="101"/>
        <v>#N/A</v>
      </c>
      <c r="R633" s="11" t="e">
        <f t="shared" si="95"/>
        <v>#N/A</v>
      </c>
      <c r="S633" s="19" t="e">
        <f t="shared" si="96"/>
        <v>#N/A</v>
      </c>
      <c r="T633" s="19" t="e">
        <f t="shared" si="97"/>
        <v>#N/A</v>
      </c>
      <c r="U633" s="19">
        <f t="shared" si="98"/>
        <v>83.804000000000016</v>
      </c>
    </row>
    <row r="634" spans="14:21" x14ac:dyDescent="0.25">
      <c r="N634" s="10">
        <v>328</v>
      </c>
      <c r="O634" s="17" t="e">
        <f t="shared" si="94"/>
        <v>#N/A</v>
      </c>
      <c r="P634" s="17">
        <f t="shared" si="100"/>
        <v>328</v>
      </c>
      <c r="Q634" s="19" t="e">
        <f t="shared" si="101"/>
        <v>#N/A</v>
      </c>
      <c r="R634" s="11" t="e">
        <f t="shared" si="95"/>
        <v>#N/A</v>
      </c>
      <c r="S634" s="19" t="e">
        <f t="shared" si="96"/>
        <v>#N/A</v>
      </c>
      <c r="T634" s="19" t="e">
        <f t="shared" si="97"/>
        <v>#N/A</v>
      </c>
      <c r="U634" s="19">
        <f t="shared" si="98"/>
        <v>83.804000000000016</v>
      </c>
    </row>
    <row r="635" spans="14:21" x14ac:dyDescent="0.25">
      <c r="N635" s="10">
        <v>329</v>
      </c>
      <c r="O635" s="17" t="e">
        <f t="shared" si="94"/>
        <v>#N/A</v>
      </c>
      <c r="P635" s="17">
        <f t="shared" si="100"/>
        <v>329</v>
      </c>
      <c r="Q635" s="19" t="e">
        <f t="shared" si="101"/>
        <v>#N/A</v>
      </c>
      <c r="R635" s="11" t="e">
        <f t="shared" si="95"/>
        <v>#N/A</v>
      </c>
      <c r="S635" s="19" t="e">
        <f t="shared" si="96"/>
        <v>#N/A</v>
      </c>
      <c r="T635" s="19" t="e">
        <f t="shared" si="97"/>
        <v>#N/A</v>
      </c>
      <c r="U635" s="19">
        <f t="shared" si="98"/>
        <v>83.804000000000016</v>
      </c>
    </row>
    <row r="636" spans="14:21" x14ac:dyDescent="0.25">
      <c r="N636" s="10">
        <v>330</v>
      </c>
      <c r="O636" s="17" t="e">
        <f t="shared" si="94"/>
        <v>#N/A</v>
      </c>
      <c r="P636" s="17">
        <f t="shared" si="100"/>
        <v>330</v>
      </c>
      <c r="Q636" s="19" t="e">
        <f t="shared" si="101"/>
        <v>#N/A</v>
      </c>
      <c r="R636" s="11" t="e">
        <f t="shared" si="95"/>
        <v>#N/A</v>
      </c>
      <c r="S636" s="19" t="e">
        <f t="shared" si="96"/>
        <v>#N/A</v>
      </c>
      <c r="T636" s="19" t="e">
        <f t="shared" si="97"/>
        <v>#N/A</v>
      </c>
      <c r="U636" s="19">
        <f t="shared" si="98"/>
        <v>83.804000000000016</v>
      </c>
    </row>
    <row r="637" spans="14:21" x14ac:dyDescent="0.25">
      <c r="N637" s="10">
        <v>331</v>
      </c>
      <c r="O637" s="17" t="e">
        <f t="shared" si="94"/>
        <v>#N/A</v>
      </c>
      <c r="P637" s="17">
        <f t="shared" si="100"/>
        <v>331</v>
      </c>
      <c r="Q637" s="19" t="e">
        <f t="shared" si="101"/>
        <v>#N/A</v>
      </c>
      <c r="R637" s="11" t="e">
        <f t="shared" si="95"/>
        <v>#N/A</v>
      </c>
      <c r="S637" s="19" t="e">
        <f t="shared" si="96"/>
        <v>#N/A</v>
      </c>
      <c r="T637" s="19" t="e">
        <f t="shared" si="97"/>
        <v>#N/A</v>
      </c>
      <c r="U637" s="19">
        <f t="shared" si="98"/>
        <v>83.804000000000016</v>
      </c>
    </row>
    <row r="638" spans="14:21" x14ac:dyDescent="0.25">
      <c r="N638" s="10">
        <v>332</v>
      </c>
      <c r="O638" s="17" t="e">
        <f t="shared" si="94"/>
        <v>#N/A</v>
      </c>
      <c r="P638" s="17">
        <f t="shared" si="100"/>
        <v>332</v>
      </c>
      <c r="Q638" s="19" t="e">
        <f t="shared" si="101"/>
        <v>#N/A</v>
      </c>
      <c r="R638" s="11" t="e">
        <f t="shared" si="95"/>
        <v>#N/A</v>
      </c>
      <c r="S638" s="19" t="e">
        <f t="shared" si="96"/>
        <v>#N/A</v>
      </c>
      <c r="T638" s="19" t="e">
        <f t="shared" si="97"/>
        <v>#N/A</v>
      </c>
      <c r="U638" s="19">
        <f t="shared" si="98"/>
        <v>83.804000000000016</v>
      </c>
    </row>
    <row r="639" spans="14:21" x14ac:dyDescent="0.25">
      <c r="N639" s="10">
        <v>333</v>
      </c>
      <c r="O639" s="17" t="e">
        <f t="shared" si="94"/>
        <v>#N/A</v>
      </c>
      <c r="P639" s="17">
        <f t="shared" si="100"/>
        <v>333</v>
      </c>
      <c r="Q639" s="19" t="e">
        <f t="shared" si="101"/>
        <v>#N/A</v>
      </c>
      <c r="R639" s="11" t="e">
        <f t="shared" si="95"/>
        <v>#N/A</v>
      </c>
      <c r="S639" s="19" t="e">
        <f t="shared" si="96"/>
        <v>#N/A</v>
      </c>
      <c r="T639" s="19" t="e">
        <f t="shared" si="97"/>
        <v>#N/A</v>
      </c>
      <c r="U639" s="19">
        <f t="shared" si="98"/>
        <v>83.804000000000016</v>
      </c>
    </row>
    <row r="640" spans="14:21" x14ac:dyDescent="0.25">
      <c r="N640" s="10">
        <v>334</v>
      </c>
      <c r="O640" s="17" t="e">
        <f t="shared" si="94"/>
        <v>#N/A</v>
      </c>
      <c r="P640" s="17">
        <f t="shared" si="100"/>
        <v>334</v>
      </c>
      <c r="Q640" s="19" t="e">
        <f t="shared" si="101"/>
        <v>#N/A</v>
      </c>
      <c r="R640" s="11" t="e">
        <f t="shared" si="95"/>
        <v>#N/A</v>
      </c>
      <c r="S640" s="19" t="e">
        <f t="shared" si="96"/>
        <v>#N/A</v>
      </c>
      <c r="T640" s="19" t="e">
        <f t="shared" si="97"/>
        <v>#N/A</v>
      </c>
      <c r="U640" s="19">
        <f t="shared" si="98"/>
        <v>83.804000000000016</v>
      </c>
    </row>
    <row r="641" spans="14:21" x14ac:dyDescent="0.25">
      <c r="N641" s="10">
        <v>335</v>
      </c>
      <c r="O641" s="17" t="e">
        <f t="shared" si="94"/>
        <v>#N/A</v>
      </c>
      <c r="P641" s="17">
        <f t="shared" si="100"/>
        <v>335</v>
      </c>
      <c r="Q641" s="19" t="e">
        <f t="shared" si="101"/>
        <v>#N/A</v>
      </c>
      <c r="R641" s="11" t="e">
        <f t="shared" si="95"/>
        <v>#N/A</v>
      </c>
      <c r="S641" s="19" t="e">
        <f t="shared" si="96"/>
        <v>#N/A</v>
      </c>
      <c r="T641" s="19" t="e">
        <f t="shared" si="97"/>
        <v>#N/A</v>
      </c>
      <c r="U641" s="19">
        <f t="shared" si="98"/>
        <v>83.804000000000016</v>
      </c>
    </row>
    <row r="642" spans="14:21" x14ac:dyDescent="0.25">
      <c r="N642" s="10">
        <v>336</v>
      </c>
      <c r="O642" s="17" t="e">
        <f t="shared" si="94"/>
        <v>#N/A</v>
      </c>
      <c r="P642" s="17">
        <f t="shared" si="100"/>
        <v>336</v>
      </c>
      <c r="Q642" s="19" t="e">
        <f t="shared" si="101"/>
        <v>#N/A</v>
      </c>
      <c r="R642" s="11" t="e">
        <f t="shared" si="95"/>
        <v>#N/A</v>
      </c>
      <c r="S642" s="19" t="e">
        <f t="shared" si="96"/>
        <v>#N/A</v>
      </c>
      <c r="T642" s="19" t="e">
        <f t="shared" si="97"/>
        <v>#N/A</v>
      </c>
      <c r="U642" s="19">
        <f t="shared" si="98"/>
        <v>83.804000000000016</v>
      </c>
    </row>
    <row r="643" spans="14:21" x14ac:dyDescent="0.25">
      <c r="N643" s="10">
        <v>337</v>
      </c>
      <c r="O643" s="17" t="e">
        <f t="shared" si="94"/>
        <v>#N/A</v>
      </c>
      <c r="P643" s="17">
        <f t="shared" si="100"/>
        <v>337</v>
      </c>
      <c r="Q643" s="19" t="e">
        <f t="shared" si="101"/>
        <v>#N/A</v>
      </c>
      <c r="R643" s="11" t="e">
        <f t="shared" si="95"/>
        <v>#N/A</v>
      </c>
      <c r="S643" s="19" t="e">
        <f t="shared" si="96"/>
        <v>#N/A</v>
      </c>
      <c r="T643" s="19" t="e">
        <f t="shared" si="97"/>
        <v>#N/A</v>
      </c>
      <c r="U643" s="19">
        <f t="shared" si="98"/>
        <v>83.804000000000016</v>
      </c>
    </row>
    <row r="644" spans="14:21" x14ac:dyDescent="0.25">
      <c r="N644" s="10">
        <v>338</v>
      </c>
      <c r="O644" s="17" t="e">
        <f t="shared" si="94"/>
        <v>#N/A</v>
      </c>
      <c r="P644" s="17">
        <f t="shared" si="100"/>
        <v>338</v>
      </c>
      <c r="Q644" s="19" t="e">
        <f t="shared" si="101"/>
        <v>#N/A</v>
      </c>
      <c r="R644" s="11" t="e">
        <f t="shared" si="95"/>
        <v>#N/A</v>
      </c>
      <c r="S644" s="19" t="e">
        <f t="shared" si="96"/>
        <v>#N/A</v>
      </c>
      <c r="T644" s="19" t="e">
        <f t="shared" si="97"/>
        <v>#N/A</v>
      </c>
      <c r="U644" s="19">
        <f t="shared" si="98"/>
        <v>83.804000000000016</v>
      </c>
    </row>
    <row r="645" spans="14:21" x14ac:dyDescent="0.25">
      <c r="N645" s="10">
        <v>339</v>
      </c>
      <c r="O645" s="17" t="e">
        <f t="shared" si="94"/>
        <v>#N/A</v>
      </c>
      <c r="P645" s="17">
        <f t="shared" si="100"/>
        <v>339</v>
      </c>
      <c r="Q645" s="19" t="e">
        <f t="shared" si="101"/>
        <v>#N/A</v>
      </c>
      <c r="R645" s="11" t="e">
        <f t="shared" si="95"/>
        <v>#N/A</v>
      </c>
      <c r="S645" s="19" t="e">
        <f t="shared" si="96"/>
        <v>#N/A</v>
      </c>
      <c r="T645" s="19" t="e">
        <f t="shared" si="97"/>
        <v>#N/A</v>
      </c>
      <c r="U645" s="19">
        <f t="shared" si="98"/>
        <v>83.804000000000016</v>
      </c>
    </row>
    <row r="646" spans="14:21" x14ac:dyDescent="0.25">
      <c r="N646" s="10">
        <v>340</v>
      </c>
      <c r="O646" s="17" t="e">
        <f t="shared" ref="O646:O671" si="102">IF(N646=0,$B$5,IF(N646&gt;$B$9,NA(),-($B$6-$B$5)*(1-(N646/$B$9))^(0.985*((N646/$B$9)^(-0.625)))+$B$6))</f>
        <v>#N/A</v>
      </c>
      <c r="P646" s="17">
        <f t="shared" si="100"/>
        <v>340</v>
      </c>
      <c r="Q646" s="19" t="e">
        <f t="shared" si="101"/>
        <v>#N/A</v>
      </c>
      <c r="R646" s="11" t="e">
        <f t="shared" ref="R646:R671" si="103">$B$13*($B$8-O646)</f>
        <v>#N/A</v>
      </c>
      <c r="S646" s="19" t="e">
        <f t="shared" ref="S646:S671" si="104">R646*$B$20</f>
        <v>#N/A</v>
      </c>
      <c r="T646" s="19" t="e">
        <f t="shared" ref="T646:T671" si="105">R646*$B$20</f>
        <v>#N/A</v>
      </c>
      <c r="U646" s="19">
        <f t="shared" ref="U646:U671" si="106">$B$21/2</f>
        <v>83.804000000000016</v>
      </c>
    </row>
    <row r="647" spans="14:21" x14ac:dyDescent="0.25">
      <c r="N647" s="10">
        <v>341</v>
      </c>
      <c r="O647" s="17" t="e">
        <f t="shared" si="102"/>
        <v>#N/A</v>
      </c>
      <c r="P647" s="17">
        <f t="shared" si="100"/>
        <v>341</v>
      </c>
      <c r="Q647" s="19" t="e">
        <f t="shared" si="101"/>
        <v>#N/A</v>
      </c>
      <c r="R647" s="11" t="e">
        <f t="shared" si="103"/>
        <v>#N/A</v>
      </c>
      <c r="S647" s="19" t="e">
        <f t="shared" si="104"/>
        <v>#N/A</v>
      </c>
      <c r="T647" s="19" t="e">
        <f t="shared" si="105"/>
        <v>#N/A</v>
      </c>
      <c r="U647" s="19">
        <f t="shared" si="106"/>
        <v>83.804000000000016</v>
      </c>
    </row>
    <row r="648" spans="14:21" x14ac:dyDescent="0.25">
      <c r="N648" s="10">
        <v>342</v>
      </c>
      <c r="O648" s="17" t="e">
        <f t="shared" si="102"/>
        <v>#N/A</v>
      </c>
      <c r="P648" s="17">
        <f t="shared" si="100"/>
        <v>342</v>
      </c>
      <c r="Q648" s="19" t="e">
        <f t="shared" si="101"/>
        <v>#N/A</v>
      </c>
      <c r="R648" s="11" t="e">
        <f t="shared" si="103"/>
        <v>#N/A</v>
      </c>
      <c r="S648" s="19" t="e">
        <f t="shared" si="104"/>
        <v>#N/A</v>
      </c>
      <c r="T648" s="19" t="e">
        <f t="shared" si="105"/>
        <v>#N/A</v>
      </c>
      <c r="U648" s="19">
        <f t="shared" si="106"/>
        <v>83.804000000000016</v>
      </c>
    </row>
    <row r="649" spans="14:21" x14ac:dyDescent="0.25">
      <c r="N649" s="10">
        <v>343</v>
      </c>
      <c r="O649" s="17" t="e">
        <f t="shared" si="102"/>
        <v>#N/A</v>
      </c>
      <c r="P649" s="17">
        <f t="shared" si="100"/>
        <v>343</v>
      </c>
      <c r="Q649" s="19" t="e">
        <f t="shared" si="101"/>
        <v>#N/A</v>
      </c>
      <c r="R649" s="11" t="e">
        <f t="shared" si="103"/>
        <v>#N/A</v>
      </c>
      <c r="S649" s="19" t="e">
        <f t="shared" si="104"/>
        <v>#N/A</v>
      </c>
      <c r="T649" s="19" t="e">
        <f t="shared" si="105"/>
        <v>#N/A</v>
      </c>
      <c r="U649" s="19">
        <f t="shared" si="106"/>
        <v>83.804000000000016</v>
      </c>
    </row>
    <row r="650" spans="14:21" x14ac:dyDescent="0.25">
      <c r="N650" s="10">
        <v>344</v>
      </c>
      <c r="O650" s="17" t="e">
        <f t="shared" si="102"/>
        <v>#N/A</v>
      </c>
      <c r="P650" s="17">
        <f t="shared" si="100"/>
        <v>344</v>
      </c>
      <c r="Q650" s="19" t="e">
        <f t="shared" si="101"/>
        <v>#N/A</v>
      </c>
      <c r="R650" s="11" t="e">
        <f t="shared" si="103"/>
        <v>#N/A</v>
      </c>
      <c r="S650" s="19" t="e">
        <f t="shared" si="104"/>
        <v>#N/A</v>
      </c>
      <c r="T650" s="19" t="e">
        <f t="shared" si="105"/>
        <v>#N/A</v>
      </c>
      <c r="U650" s="19">
        <f t="shared" si="106"/>
        <v>83.804000000000016</v>
      </c>
    </row>
    <row r="651" spans="14:21" x14ac:dyDescent="0.25">
      <c r="N651" s="10">
        <v>345</v>
      </c>
      <c r="O651" s="17" t="e">
        <f t="shared" si="102"/>
        <v>#N/A</v>
      </c>
      <c r="P651" s="17">
        <f t="shared" si="100"/>
        <v>345</v>
      </c>
      <c r="Q651" s="19" t="e">
        <f t="shared" si="101"/>
        <v>#N/A</v>
      </c>
      <c r="R651" s="11" t="e">
        <f t="shared" si="103"/>
        <v>#N/A</v>
      </c>
      <c r="S651" s="19" t="e">
        <f t="shared" si="104"/>
        <v>#N/A</v>
      </c>
      <c r="T651" s="19" t="e">
        <f t="shared" si="105"/>
        <v>#N/A</v>
      </c>
      <c r="U651" s="19">
        <f t="shared" si="106"/>
        <v>83.804000000000016</v>
      </c>
    </row>
    <row r="652" spans="14:21" x14ac:dyDescent="0.25">
      <c r="N652" s="10">
        <v>346</v>
      </c>
      <c r="O652" s="17" t="e">
        <f t="shared" si="102"/>
        <v>#N/A</v>
      </c>
      <c r="P652" s="17">
        <f t="shared" si="100"/>
        <v>346</v>
      </c>
      <c r="Q652" s="19" t="e">
        <f t="shared" si="101"/>
        <v>#N/A</v>
      </c>
      <c r="R652" s="11" t="e">
        <f t="shared" si="103"/>
        <v>#N/A</v>
      </c>
      <c r="S652" s="19" t="e">
        <f t="shared" si="104"/>
        <v>#N/A</v>
      </c>
      <c r="T652" s="19" t="e">
        <f t="shared" si="105"/>
        <v>#N/A</v>
      </c>
      <c r="U652" s="19">
        <f t="shared" si="106"/>
        <v>83.804000000000016</v>
      </c>
    </row>
    <row r="653" spans="14:21" x14ac:dyDescent="0.25">
      <c r="N653" s="10">
        <v>347</v>
      </c>
      <c r="O653" s="17" t="e">
        <f t="shared" si="102"/>
        <v>#N/A</v>
      </c>
      <c r="P653" s="17">
        <f t="shared" si="100"/>
        <v>347</v>
      </c>
      <c r="Q653" s="19" t="e">
        <f t="shared" si="101"/>
        <v>#N/A</v>
      </c>
      <c r="R653" s="11" t="e">
        <f t="shared" si="103"/>
        <v>#N/A</v>
      </c>
      <c r="S653" s="19" t="e">
        <f t="shared" si="104"/>
        <v>#N/A</v>
      </c>
      <c r="T653" s="19" t="e">
        <f t="shared" si="105"/>
        <v>#N/A</v>
      </c>
      <c r="U653" s="19">
        <f t="shared" si="106"/>
        <v>83.804000000000016</v>
      </c>
    </row>
    <row r="654" spans="14:21" x14ac:dyDescent="0.25">
      <c r="N654" s="10">
        <v>348</v>
      </c>
      <c r="O654" s="17" t="e">
        <f t="shared" si="102"/>
        <v>#N/A</v>
      </c>
      <c r="P654" s="17">
        <f t="shared" si="100"/>
        <v>348</v>
      </c>
      <c r="Q654" s="19" t="e">
        <f t="shared" si="101"/>
        <v>#N/A</v>
      </c>
      <c r="R654" s="11" t="e">
        <f t="shared" si="103"/>
        <v>#N/A</v>
      </c>
      <c r="S654" s="19" t="e">
        <f t="shared" si="104"/>
        <v>#N/A</v>
      </c>
      <c r="T654" s="19" t="e">
        <f t="shared" si="105"/>
        <v>#N/A</v>
      </c>
      <c r="U654" s="19">
        <f t="shared" si="106"/>
        <v>83.804000000000016</v>
      </c>
    </row>
    <row r="655" spans="14:21" x14ac:dyDescent="0.25">
      <c r="N655" s="10">
        <v>349</v>
      </c>
      <c r="O655" s="17" t="e">
        <f t="shared" si="102"/>
        <v>#N/A</v>
      </c>
      <c r="P655" s="17">
        <f t="shared" si="100"/>
        <v>349</v>
      </c>
      <c r="Q655" s="19" t="e">
        <f t="shared" si="101"/>
        <v>#N/A</v>
      </c>
      <c r="R655" s="11" t="e">
        <f t="shared" si="103"/>
        <v>#N/A</v>
      </c>
      <c r="S655" s="19" t="e">
        <f t="shared" si="104"/>
        <v>#N/A</v>
      </c>
      <c r="T655" s="19" t="e">
        <f t="shared" si="105"/>
        <v>#N/A</v>
      </c>
      <c r="U655" s="19">
        <f t="shared" si="106"/>
        <v>83.804000000000016</v>
      </c>
    </row>
    <row r="656" spans="14:21" x14ac:dyDescent="0.25">
      <c r="N656" s="10">
        <v>350</v>
      </c>
      <c r="O656" s="17" t="e">
        <f t="shared" si="102"/>
        <v>#N/A</v>
      </c>
      <c r="P656" s="17">
        <f t="shared" si="100"/>
        <v>350</v>
      </c>
      <c r="Q656" s="19" t="e">
        <f t="shared" si="101"/>
        <v>#N/A</v>
      </c>
      <c r="R656" s="11" t="e">
        <f t="shared" si="103"/>
        <v>#N/A</v>
      </c>
      <c r="S656" s="19" t="e">
        <f t="shared" si="104"/>
        <v>#N/A</v>
      </c>
      <c r="T656" s="19" t="e">
        <f t="shared" si="105"/>
        <v>#N/A</v>
      </c>
      <c r="U656" s="19">
        <f t="shared" si="106"/>
        <v>83.804000000000016</v>
      </c>
    </row>
    <row r="657" spans="14:21" x14ac:dyDescent="0.25">
      <c r="N657" s="10">
        <v>351</v>
      </c>
      <c r="O657" s="17" t="e">
        <f t="shared" si="102"/>
        <v>#N/A</v>
      </c>
      <c r="P657" s="17">
        <f t="shared" si="100"/>
        <v>351</v>
      </c>
      <c r="Q657" s="19" t="e">
        <f t="shared" si="101"/>
        <v>#N/A</v>
      </c>
      <c r="R657" s="11" t="e">
        <f t="shared" si="103"/>
        <v>#N/A</v>
      </c>
      <c r="S657" s="19" t="e">
        <f t="shared" si="104"/>
        <v>#N/A</v>
      </c>
      <c r="T657" s="19" t="e">
        <f t="shared" si="105"/>
        <v>#N/A</v>
      </c>
      <c r="U657" s="19">
        <f t="shared" si="106"/>
        <v>83.804000000000016</v>
      </c>
    </row>
    <row r="658" spans="14:21" x14ac:dyDescent="0.25">
      <c r="N658" s="10">
        <v>352</v>
      </c>
      <c r="O658" s="17" t="e">
        <f t="shared" si="102"/>
        <v>#N/A</v>
      </c>
      <c r="P658" s="17">
        <f t="shared" si="100"/>
        <v>352</v>
      </c>
      <c r="Q658" s="19" t="e">
        <f t="shared" si="101"/>
        <v>#N/A</v>
      </c>
      <c r="R658" s="11" t="e">
        <f t="shared" si="103"/>
        <v>#N/A</v>
      </c>
      <c r="S658" s="19" t="e">
        <f t="shared" si="104"/>
        <v>#N/A</v>
      </c>
      <c r="T658" s="19" t="e">
        <f t="shared" si="105"/>
        <v>#N/A</v>
      </c>
      <c r="U658" s="19">
        <f t="shared" si="106"/>
        <v>83.804000000000016</v>
      </c>
    </row>
    <row r="659" spans="14:21" x14ac:dyDescent="0.25">
      <c r="N659" s="10">
        <v>353</v>
      </c>
      <c r="O659" s="17" t="e">
        <f t="shared" si="102"/>
        <v>#N/A</v>
      </c>
      <c r="P659" s="17">
        <f t="shared" si="100"/>
        <v>353</v>
      </c>
      <c r="Q659" s="19" t="e">
        <f t="shared" si="101"/>
        <v>#N/A</v>
      </c>
      <c r="R659" s="11" t="e">
        <f t="shared" si="103"/>
        <v>#N/A</v>
      </c>
      <c r="S659" s="19" t="e">
        <f t="shared" si="104"/>
        <v>#N/A</v>
      </c>
      <c r="T659" s="19" t="e">
        <f t="shared" si="105"/>
        <v>#N/A</v>
      </c>
      <c r="U659" s="19">
        <f t="shared" si="106"/>
        <v>83.804000000000016</v>
      </c>
    </row>
    <row r="660" spans="14:21" x14ac:dyDescent="0.25">
      <c r="N660" s="10">
        <v>354</v>
      </c>
      <c r="O660" s="17" t="e">
        <f t="shared" si="102"/>
        <v>#N/A</v>
      </c>
      <c r="P660" s="17">
        <f t="shared" si="100"/>
        <v>354</v>
      </c>
      <c r="Q660" s="19" t="e">
        <f t="shared" si="101"/>
        <v>#N/A</v>
      </c>
      <c r="R660" s="11" t="e">
        <f t="shared" si="103"/>
        <v>#N/A</v>
      </c>
      <c r="S660" s="19" t="e">
        <f t="shared" si="104"/>
        <v>#N/A</v>
      </c>
      <c r="T660" s="19" t="e">
        <f t="shared" si="105"/>
        <v>#N/A</v>
      </c>
      <c r="U660" s="19">
        <f t="shared" si="106"/>
        <v>83.804000000000016</v>
      </c>
    </row>
    <row r="661" spans="14:21" x14ac:dyDescent="0.25">
      <c r="N661" s="10">
        <v>355</v>
      </c>
      <c r="O661" s="17" t="e">
        <f t="shared" si="102"/>
        <v>#N/A</v>
      </c>
      <c r="P661" s="17">
        <f t="shared" si="100"/>
        <v>355</v>
      </c>
      <c r="Q661" s="19" t="e">
        <f t="shared" si="101"/>
        <v>#N/A</v>
      </c>
      <c r="R661" s="11" t="e">
        <f t="shared" si="103"/>
        <v>#N/A</v>
      </c>
      <c r="S661" s="19" t="e">
        <f t="shared" si="104"/>
        <v>#N/A</v>
      </c>
      <c r="T661" s="19" t="e">
        <f t="shared" si="105"/>
        <v>#N/A</v>
      </c>
      <c r="U661" s="19">
        <f t="shared" si="106"/>
        <v>83.804000000000016</v>
      </c>
    </row>
    <row r="662" spans="14:21" x14ac:dyDescent="0.25">
      <c r="N662" s="10">
        <v>356</v>
      </c>
      <c r="O662" s="17" t="e">
        <f t="shared" si="102"/>
        <v>#N/A</v>
      </c>
      <c r="P662" s="17">
        <f t="shared" si="100"/>
        <v>356</v>
      </c>
      <c r="Q662" s="19" t="e">
        <f t="shared" si="101"/>
        <v>#N/A</v>
      </c>
      <c r="R662" s="11" t="e">
        <f t="shared" si="103"/>
        <v>#N/A</v>
      </c>
      <c r="S662" s="19" t="e">
        <f t="shared" si="104"/>
        <v>#N/A</v>
      </c>
      <c r="T662" s="19" t="e">
        <f t="shared" si="105"/>
        <v>#N/A</v>
      </c>
      <c r="U662" s="19">
        <f t="shared" si="106"/>
        <v>83.804000000000016</v>
      </c>
    </row>
    <row r="663" spans="14:21" x14ac:dyDescent="0.25">
      <c r="N663" s="10">
        <v>357</v>
      </c>
      <c r="O663" s="17" t="e">
        <f t="shared" si="102"/>
        <v>#N/A</v>
      </c>
      <c r="P663" s="17">
        <f t="shared" si="100"/>
        <v>357</v>
      </c>
      <c r="Q663" s="19" t="e">
        <f t="shared" si="101"/>
        <v>#N/A</v>
      </c>
      <c r="R663" s="11" t="e">
        <f t="shared" si="103"/>
        <v>#N/A</v>
      </c>
      <c r="S663" s="19" t="e">
        <f t="shared" si="104"/>
        <v>#N/A</v>
      </c>
      <c r="T663" s="19" t="e">
        <f t="shared" si="105"/>
        <v>#N/A</v>
      </c>
      <c r="U663" s="19">
        <f t="shared" si="106"/>
        <v>83.804000000000016</v>
      </c>
    </row>
    <row r="664" spans="14:21" x14ac:dyDescent="0.25">
      <c r="N664" s="10">
        <v>358</v>
      </c>
      <c r="O664" s="17" t="e">
        <f t="shared" si="102"/>
        <v>#N/A</v>
      </c>
      <c r="P664" s="17">
        <f t="shared" si="100"/>
        <v>358</v>
      </c>
      <c r="Q664" s="19" t="e">
        <f t="shared" si="101"/>
        <v>#N/A</v>
      </c>
      <c r="R664" s="11" t="e">
        <f t="shared" si="103"/>
        <v>#N/A</v>
      </c>
      <c r="S664" s="19" t="e">
        <f t="shared" si="104"/>
        <v>#N/A</v>
      </c>
      <c r="T664" s="19" t="e">
        <f t="shared" si="105"/>
        <v>#N/A</v>
      </c>
      <c r="U664" s="19">
        <f t="shared" si="106"/>
        <v>83.804000000000016</v>
      </c>
    </row>
    <row r="665" spans="14:21" x14ac:dyDescent="0.25">
      <c r="N665" s="10">
        <v>359</v>
      </c>
      <c r="O665" s="17" t="e">
        <f t="shared" si="102"/>
        <v>#N/A</v>
      </c>
      <c r="P665" s="17">
        <f t="shared" si="100"/>
        <v>359</v>
      </c>
      <c r="Q665" s="19" t="e">
        <f t="shared" si="101"/>
        <v>#N/A</v>
      </c>
      <c r="R665" s="11" t="e">
        <f t="shared" si="103"/>
        <v>#N/A</v>
      </c>
      <c r="S665" s="19" t="e">
        <f t="shared" si="104"/>
        <v>#N/A</v>
      </c>
      <c r="T665" s="19" t="e">
        <f t="shared" si="105"/>
        <v>#N/A</v>
      </c>
      <c r="U665" s="19">
        <f t="shared" si="106"/>
        <v>83.804000000000016</v>
      </c>
    </row>
    <row r="666" spans="14:21" x14ac:dyDescent="0.25">
      <c r="N666" s="10">
        <v>360</v>
      </c>
      <c r="O666" s="17" t="e">
        <f t="shared" si="102"/>
        <v>#N/A</v>
      </c>
      <c r="P666" s="17">
        <f t="shared" si="100"/>
        <v>360</v>
      </c>
      <c r="Q666" s="19" t="e">
        <f t="shared" si="101"/>
        <v>#N/A</v>
      </c>
      <c r="R666" s="11" t="e">
        <f t="shared" si="103"/>
        <v>#N/A</v>
      </c>
      <c r="S666" s="19" t="e">
        <f t="shared" si="104"/>
        <v>#N/A</v>
      </c>
      <c r="T666" s="19" t="e">
        <f t="shared" si="105"/>
        <v>#N/A</v>
      </c>
      <c r="U666" s="19">
        <f t="shared" si="106"/>
        <v>83.804000000000016</v>
      </c>
    </row>
    <row r="667" spans="14:21" x14ac:dyDescent="0.25">
      <c r="N667" s="10">
        <v>361</v>
      </c>
      <c r="O667" s="17" t="e">
        <f t="shared" si="102"/>
        <v>#N/A</v>
      </c>
      <c r="P667" s="17">
        <f t="shared" si="100"/>
        <v>361</v>
      </c>
      <c r="Q667" s="19" t="e">
        <f t="shared" si="101"/>
        <v>#N/A</v>
      </c>
      <c r="R667" s="11" t="e">
        <f t="shared" si="103"/>
        <v>#N/A</v>
      </c>
      <c r="S667" s="19" t="e">
        <f t="shared" si="104"/>
        <v>#N/A</v>
      </c>
      <c r="T667" s="19" t="e">
        <f t="shared" si="105"/>
        <v>#N/A</v>
      </c>
      <c r="U667" s="19">
        <f t="shared" si="106"/>
        <v>83.804000000000016</v>
      </c>
    </row>
    <row r="668" spans="14:21" x14ac:dyDescent="0.25">
      <c r="N668" s="10">
        <v>362</v>
      </c>
      <c r="O668" s="17" t="e">
        <f t="shared" si="102"/>
        <v>#N/A</v>
      </c>
      <c r="P668" s="17">
        <f t="shared" si="100"/>
        <v>362</v>
      </c>
      <c r="Q668" s="19" t="e">
        <f t="shared" si="101"/>
        <v>#N/A</v>
      </c>
      <c r="R668" s="11" t="e">
        <f t="shared" si="103"/>
        <v>#N/A</v>
      </c>
      <c r="S668" s="19" t="e">
        <f t="shared" si="104"/>
        <v>#N/A</v>
      </c>
      <c r="T668" s="19" t="e">
        <f t="shared" si="105"/>
        <v>#N/A</v>
      </c>
      <c r="U668" s="19">
        <f t="shared" si="106"/>
        <v>83.804000000000016</v>
      </c>
    </row>
    <row r="669" spans="14:21" x14ac:dyDescent="0.25">
      <c r="N669" s="10">
        <v>363</v>
      </c>
      <c r="O669" s="17" t="e">
        <f t="shared" si="102"/>
        <v>#N/A</v>
      </c>
      <c r="P669" s="17">
        <f t="shared" si="100"/>
        <v>363</v>
      </c>
      <c r="Q669" s="19" t="e">
        <f t="shared" si="101"/>
        <v>#N/A</v>
      </c>
      <c r="R669" s="11" t="e">
        <f t="shared" si="103"/>
        <v>#N/A</v>
      </c>
      <c r="S669" s="19" t="e">
        <f t="shared" si="104"/>
        <v>#N/A</v>
      </c>
      <c r="T669" s="19" t="e">
        <f t="shared" si="105"/>
        <v>#N/A</v>
      </c>
      <c r="U669" s="19">
        <f t="shared" si="106"/>
        <v>83.804000000000016</v>
      </c>
    </row>
    <row r="670" spans="14:21" x14ac:dyDescent="0.25">
      <c r="N670" s="10">
        <v>364</v>
      </c>
      <c r="O670" s="17" t="e">
        <f t="shared" si="102"/>
        <v>#N/A</v>
      </c>
      <c r="P670" s="17">
        <f t="shared" si="100"/>
        <v>364</v>
      </c>
      <c r="Q670" s="19" t="e">
        <f t="shared" si="101"/>
        <v>#N/A</v>
      </c>
      <c r="R670" s="11" t="e">
        <f t="shared" si="103"/>
        <v>#N/A</v>
      </c>
      <c r="S670" s="19" t="e">
        <f t="shared" si="104"/>
        <v>#N/A</v>
      </c>
      <c r="T670" s="19" t="e">
        <f t="shared" si="105"/>
        <v>#N/A</v>
      </c>
      <c r="U670" s="19">
        <f t="shared" si="106"/>
        <v>83.804000000000016</v>
      </c>
    </row>
    <row r="671" spans="14:21" x14ac:dyDescent="0.25">
      <c r="N671" s="10">
        <v>365</v>
      </c>
      <c r="O671" s="17" t="e">
        <f t="shared" si="102"/>
        <v>#N/A</v>
      </c>
      <c r="P671" s="17">
        <f t="shared" ref="P671" si="107">N671</f>
        <v>365</v>
      </c>
      <c r="Q671" s="19" t="e">
        <f t="shared" ref="Q671" si="108" xml:space="preserve"> -0.0232*O671^3 + 0.296*O671^2 + 12.396*O671 + 74.648</f>
        <v>#N/A</v>
      </c>
      <c r="R671" s="11" t="e">
        <f t="shared" si="103"/>
        <v>#N/A</v>
      </c>
      <c r="S671" s="19" t="e">
        <f t="shared" si="104"/>
        <v>#N/A</v>
      </c>
      <c r="T671" s="19" t="e">
        <f t="shared" si="105"/>
        <v>#N/A</v>
      </c>
      <c r="U671" s="19">
        <f t="shared" si="106"/>
        <v>83.804000000000016</v>
      </c>
    </row>
    <row r="672" spans="14:21" x14ac:dyDescent="0.25">
      <c r="O672" s="2"/>
      <c r="Q672" s="3"/>
      <c r="R672" s="16"/>
      <c r="S672" s="3"/>
      <c r="T672" s="3"/>
      <c r="U672" s="3"/>
    </row>
  </sheetData>
  <mergeCells count="9">
    <mergeCell ref="T3:T4"/>
    <mergeCell ref="E25:F25"/>
    <mergeCell ref="E26:F26"/>
    <mergeCell ref="E27:F27"/>
    <mergeCell ref="B4:E4"/>
    <mergeCell ref="J9:K9"/>
    <mergeCell ref="J10:K10"/>
    <mergeCell ref="D21:G21"/>
    <mergeCell ref="B25:D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66E9-05CD-46E6-9F8B-B53359CF2519}">
  <dimension ref="B1:V440"/>
  <sheetViews>
    <sheetView topLeftCell="B1" zoomScale="115" zoomScaleNormal="115" workbookViewId="0">
      <selection activeCell="I5" sqref="I5:I62"/>
    </sheetView>
  </sheetViews>
  <sheetFormatPr defaultRowHeight="15" x14ac:dyDescent="0.25"/>
  <cols>
    <col min="1" max="1" width="11" customWidth="1"/>
    <col min="2" max="2" width="20.28515625" bestFit="1" customWidth="1"/>
    <col min="3" max="3" width="11.42578125" bestFit="1" customWidth="1"/>
    <col min="4" max="4" width="7.7109375" customWidth="1"/>
    <col min="6" max="6" width="14" style="6" bestFit="1" customWidth="1"/>
    <col min="7" max="7" width="26.7109375" bestFit="1" customWidth="1"/>
    <col min="8" max="8" width="14.28515625" style="6" bestFit="1" customWidth="1"/>
    <col min="9" max="9" width="9.140625" style="6"/>
    <col min="10" max="10" width="5.5703125" style="6" customWidth="1"/>
    <col min="11" max="11" width="12.28515625" bestFit="1" customWidth="1"/>
    <col min="12" max="12" width="5.5703125" style="6" customWidth="1"/>
    <col min="13" max="13" width="12.28515625" bestFit="1" customWidth="1"/>
    <col min="14" max="14" width="16.7109375" customWidth="1"/>
    <col min="15" max="15" width="10" customWidth="1"/>
    <col min="19" max="20" width="10.5703125" bestFit="1" customWidth="1"/>
    <col min="22" max="22" width="11.42578125" bestFit="1" customWidth="1"/>
  </cols>
  <sheetData>
    <row r="1" spans="2:22" x14ac:dyDescent="0.25">
      <c r="F1"/>
    </row>
    <row r="2" spans="2:22" x14ac:dyDescent="0.25">
      <c r="F2"/>
      <c r="M2" t="s">
        <v>517</v>
      </c>
      <c r="N2" s="63">
        <f>Výpočet!E20</f>
        <v>3</v>
      </c>
      <c r="O2" t="s">
        <v>518</v>
      </c>
    </row>
    <row r="3" spans="2:22" x14ac:dyDescent="0.25">
      <c r="F3"/>
      <c r="R3" t="s">
        <v>512</v>
      </c>
    </row>
    <row r="4" spans="2:22" x14ac:dyDescent="0.25">
      <c r="F4" s="81" t="s">
        <v>474</v>
      </c>
      <c r="G4" s="25" t="s">
        <v>131</v>
      </c>
      <c r="H4" s="26" t="s">
        <v>139</v>
      </c>
      <c r="I4" s="26" t="s">
        <v>140</v>
      </c>
      <c r="J4" s="6" t="s">
        <v>412</v>
      </c>
      <c r="R4" t="s">
        <v>513</v>
      </c>
    </row>
    <row r="5" spans="2:22" x14ac:dyDescent="0.25">
      <c r="B5" s="38">
        <f>Pomery_vykonu!E10</f>
        <v>0</v>
      </c>
      <c r="C5" s="31">
        <f>B5</f>
        <v>0</v>
      </c>
      <c r="F5" s="81" t="str">
        <f>VLOOKUP(M6,G4:J62,4,FALSE)</f>
        <v>V</v>
      </c>
      <c r="G5" s="38" t="s">
        <v>433</v>
      </c>
      <c r="H5" s="31" t="s">
        <v>135</v>
      </c>
      <c r="I5" s="31">
        <v>1</v>
      </c>
      <c r="M5" s="67" t="s">
        <v>431</v>
      </c>
      <c r="N5" s="67" t="s">
        <v>432</v>
      </c>
      <c r="O5" s="67" t="s">
        <v>140</v>
      </c>
      <c r="P5" s="67" t="s">
        <v>453</v>
      </c>
      <c r="Q5" s="67" t="s">
        <v>454</v>
      </c>
      <c r="R5" s="67" t="s">
        <v>456</v>
      </c>
      <c r="S5" s="74" t="s">
        <v>457</v>
      </c>
      <c r="T5" s="74" t="s">
        <v>455</v>
      </c>
      <c r="U5" s="74" t="s">
        <v>461</v>
      </c>
      <c r="V5" s="74" t="s">
        <v>462</v>
      </c>
    </row>
    <row r="6" spans="2:22" x14ac:dyDescent="0.25">
      <c r="C6" s="2"/>
      <c r="D6" s="2"/>
      <c r="F6"/>
      <c r="G6" s="38" t="s">
        <v>434</v>
      </c>
      <c r="H6" s="31" t="s">
        <v>136</v>
      </c>
      <c r="I6" s="31">
        <v>2</v>
      </c>
      <c r="J6" s="65" t="s">
        <v>413</v>
      </c>
      <c r="K6" s="2"/>
      <c r="L6" s="65"/>
      <c r="M6" s="73" t="str">
        <f>Výpočet!E19</f>
        <v>Heliotherm S55L-M</v>
      </c>
      <c r="N6" s="67" t="str">
        <f>VLOOKUP(M6,G:I,2,FALSE)</f>
        <v>S55L-M</v>
      </c>
      <c r="O6" s="67">
        <f>VLOOKUP(M6,G:I,3,FALSE)</f>
        <v>11</v>
      </c>
      <c r="P6" s="67" t="str">
        <f>Výpočet!S9</f>
        <v>W45</v>
      </c>
      <c r="Q6" s="67" t="s">
        <v>153</v>
      </c>
      <c r="R6" s="67">
        <f>SUMIFS(VykonyTC_tab!9:9,VykonyTC_tab!6:6,Vyber_typu!N6,VykonyTC_tab!8:8,Vyber_typu!P6)</f>
        <v>140</v>
      </c>
      <c r="S6" s="67">
        <f>R6+1</f>
        <v>141</v>
      </c>
      <c r="T6" s="67">
        <f>HLOOKUP(R6,VykonyTC_tab!9:10,2,FALSE)</f>
        <v>42</v>
      </c>
      <c r="U6" s="67">
        <f>SUMIFS(VykonyTC_tab!9:9,VykonyTC_tab!6:6,Vyber_typu!N6,VykonyTC_tab!8:8,Vyber_typu!Q6)</f>
        <v>146</v>
      </c>
      <c r="V6" s="67">
        <f>U6+1</f>
        <v>147</v>
      </c>
    </row>
    <row r="7" spans="2:22" x14ac:dyDescent="0.25">
      <c r="C7" s="2"/>
      <c r="D7" s="2"/>
      <c r="F7"/>
      <c r="G7" s="38" t="s">
        <v>435</v>
      </c>
      <c r="H7" s="31" t="s">
        <v>126</v>
      </c>
      <c r="I7" s="31">
        <v>3</v>
      </c>
      <c r="J7" s="65" t="s">
        <v>413</v>
      </c>
      <c r="K7" s="2"/>
      <c r="L7" s="65"/>
      <c r="M7" s="2"/>
    </row>
    <row r="8" spans="2:22" x14ac:dyDescent="0.25">
      <c r="C8" s="2"/>
      <c r="D8" s="2"/>
      <c r="F8"/>
      <c r="G8" s="38" t="s">
        <v>436</v>
      </c>
      <c r="H8" s="31" t="s">
        <v>137</v>
      </c>
      <c r="I8" s="31">
        <v>4</v>
      </c>
      <c r="J8" s="65" t="s">
        <v>413</v>
      </c>
      <c r="K8" s="2"/>
      <c r="L8" s="79"/>
      <c r="M8" s="79" t="s">
        <v>459</v>
      </c>
      <c r="N8" s="67"/>
      <c r="O8" s="67"/>
      <c r="P8" s="67"/>
      <c r="Q8" s="67"/>
    </row>
    <row r="9" spans="2:22" x14ac:dyDescent="0.25">
      <c r="C9" s="2"/>
      <c r="D9" s="2"/>
      <c r="F9"/>
      <c r="G9" s="38" t="s">
        <v>437</v>
      </c>
      <c r="H9" s="31" t="s">
        <v>138</v>
      </c>
      <c r="I9" s="31">
        <v>5</v>
      </c>
      <c r="J9" s="65" t="s">
        <v>413</v>
      </c>
      <c r="K9" s="2"/>
      <c r="L9" s="73"/>
      <c r="M9" s="73" t="s">
        <v>165</v>
      </c>
      <c r="N9" s="67" t="s">
        <v>458</v>
      </c>
      <c r="O9" s="78" t="s">
        <v>279</v>
      </c>
      <c r="P9" s="78" t="s">
        <v>460</v>
      </c>
      <c r="Q9" s="78" t="s">
        <v>463</v>
      </c>
    </row>
    <row r="10" spans="2:22" x14ac:dyDescent="0.25">
      <c r="C10" s="2"/>
      <c r="D10" s="2"/>
      <c r="F10"/>
      <c r="G10" s="38"/>
      <c r="H10" s="31"/>
      <c r="I10" s="31">
        <v>6</v>
      </c>
      <c r="J10" s="65" t="s">
        <v>413</v>
      </c>
      <c r="K10" s="2"/>
      <c r="L10" s="77">
        <v>4</v>
      </c>
      <c r="M10" s="77">
        <v>-20</v>
      </c>
      <c r="N10" s="73">
        <f>HLOOKUP($R$6,VykonyTC_tab!$9:$52,L10,FALSE)*$N$2</f>
        <v>20.532000000000046</v>
      </c>
      <c r="O10" s="73">
        <f>HLOOKUP($S$6,VykonyTC_tab!$9:$52,L10,FALSE)</f>
        <v>1.649</v>
      </c>
      <c r="P10" s="73">
        <f>HLOOKUP($U$6,VykonyTC_tab!$9:$52,$L10,FALSE)*$N$2</f>
        <v>8.0550000000000388</v>
      </c>
      <c r="Q10" s="73">
        <f>HLOOKUP($V$6,VykonyTC_tab!$9:$52,$L10,FALSE)</f>
        <v>1.3210999999999999</v>
      </c>
    </row>
    <row r="11" spans="2:22" x14ac:dyDescent="0.25">
      <c r="F11"/>
      <c r="G11" s="38" t="s">
        <v>441</v>
      </c>
      <c r="H11" s="31" t="s">
        <v>426</v>
      </c>
      <c r="I11" s="31">
        <v>7</v>
      </c>
      <c r="J11" s="65" t="s">
        <v>413</v>
      </c>
      <c r="K11" s="2"/>
      <c r="L11" s="77">
        <v>5</v>
      </c>
      <c r="M11" s="77">
        <v>-19</v>
      </c>
      <c r="N11" s="73">
        <f>HLOOKUP($R$6,VykonyTC_tab!$9:$52,L11,FALSE)*$N$2</f>
        <v>37.647600000000018</v>
      </c>
      <c r="O11" s="73">
        <f>HLOOKUP($S$6,VykonyTC_tab!$9:$52,L11,FALSE)</f>
        <v>1.7385999999999999</v>
      </c>
      <c r="P11" s="73">
        <f>HLOOKUP($U$6,VykonyTC_tab!$9:$52,$L11,FALSE)*$N$2</f>
        <v>26.441100000000024</v>
      </c>
      <c r="Q11" s="73">
        <f>HLOOKUP($V$6,VykonyTC_tab!$9:$52,$L11,FALSE)</f>
        <v>1.4001999999999999</v>
      </c>
    </row>
    <row r="12" spans="2:22" x14ac:dyDescent="0.25">
      <c r="D12" s="2"/>
      <c r="G12" s="38"/>
      <c r="H12" s="31"/>
      <c r="I12" s="31">
        <v>8</v>
      </c>
      <c r="J12" s="65" t="s">
        <v>413</v>
      </c>
      <c r="K12" s="2"/>
      <c r="L12" s="77">
        <v>6</v>
      </c>
      <c r="M12" s="77">
        <v>-18</v>
      </c>
      <c r="N12" s="73">
        <f>HLOOKUP($R$6,VykonyTC_tab!$9:$52,L12,FALSE)*$N$2</f>
        <v>53.353799999999993</v>
      </c>
      <c r="O12" s="73">
        <f>HLOOKUP($S$6,VykonyTC_tab!$9:$52,L12,FALSE)</f>
        <v>1.8248</v>
      </c>
      <c r="P12" s="73">
        <f>HLOOKUP($U$6,VykonyTC_tab!$9:$52,$L12,FALSE)*$N$2</f>
        <v>43.135200000000026</v>
      </c>
      <c r="Q12" s="73">
        <f>HLOOKUP($V$6,VykonyTC_tab!$9:$52,$L12,FALSE)</f>
        <v>1.4752999999999998</v>
      </c>
    </row>
    <row r="13" spans="2:22" x14ac:dyDescent="0.25">
      <c r="B13" s="38" t="s">
        <v>438</v>
      </c>
      <c r="C13" s="31" t="s">
        <v>427</v>
      </c>
      <c r="D13" s="2"/>
      <c r="G13" s="38" t="s">
        <v>132</v>
      </c>
      <c r="H13" s="31" t="s">
        <v>127</v>
      </c>
      <c r="I13" s="31">
        <v>9</v>
      </c>
      <c r="J13" s="65" t="s">
        <v>413</v>
      </c>
      <c r="K13" s="2"/>
      <c r="L13" s="77">
        <v>7</v>
      </c>
      <c r="M13" s="77">
        <v>-17</v>
      </c>
      <c r="N13" s="73">
        <f>HLOOKUP($R$6,VykonyTC_tab!$9:$52,L13,FALSE)*$N$2</f>
        <v>67.650600000000011</v>
      </c>
      <c r="O13" s="73">
        <f>HLOOKUP($S$6,VykonyTC_tab!$9:$52,L13,FALSE)</f>
        <v>1.9076</v>
      </c>
      <c r="P13" s="73">
        <f>HLOOKUP($U$6,VykonyTC_tab!$9:$52,$L13,FALSE)*$N$2</f>
        <v>58.13730000000001</v>
      </c>
      <c r="Q13" s="73">
        <f>HLOOKUP($V$6,VykonyTC_tab!$9:$52,$L13,FALSE)</f>
        <v>1.5464</v>
      </c>
    </row>
    <row r="14" spans="2:22" x14ac:dyDescent="0.25">
      <c r="B14" s="38" t="s">
        <v>439</v>
      </c>
      <c r="C14" s="31" t="s">
        <v>428</v>
      </c>
      <c r="D14" s="2"/>
      <c r="G14" s="38" t="s">
        <v>133</v>
      </c>
      <c r="H14" s="31" t="s">
        <v>128</v>
      </c>
      <c r="I14" s="31">
        <v>10</v>
      </c>
      <c r="J14" s="65" t="s">
        <v>413</v>
      </c>
      <c r="K14" s="2"/>
      <c r="L14" s="77">
        <v>8</v>
      </c>
      <c r="M14" s="77">
        <v>-16</v>
      </c>
      <c r="N14" s="73">
        <f>HLOOKUP($R$6,VykonyTC_tab!$9:$52,L14,FALSE)*$N$2</f>
        <v>80.538000000000011</v>
      </c>
      <c r="O14" s="73">
        <f>HLOOKUP($S$6,VykonyTC_tab!$9:$52,L14,FALSE)</f>
        <v>1.9869999999999999</v>
      </c>
      <c r="P14" s="73">
        <f>HLOOKUP($U$6,VykonyTC_tab!$9:$52,$L14,FALSE)*$N$2</f>
        <v>71.447400000000016</v>
      </c>
      <c r="Q14" s="73">
        <f>HLOOKUP($V$6,VykonyTC_tab!$9:$52,$L14,FALSE)</f>
        <v>1.6135000000000002</v>
      </c>
    </row>
    <row r="15" spans="2:22" x14ac:dyDescent="0.25">
      <c r="B15" s="38" t="s">
        <v>440</v>
      </c>
      <c r="C15" s="31" t="s">
        <v>429</v>
      </c>
      <c r="D15" s="2"/>
      <c r="G15" s="38" t="s">
        <v>134</v>
      </c>
      <c r="H15" s="31" t="s">
        <v>129</v>
      </c>
      <c r="I15" s="31">
        <v>11</v>
      </c>
      <c r="J15" s="65" t="s">
        <v>413</v>
      </c>
      <c r="K15" s="2"/>
      <c r="L15" s="77">
        <v>9</v>
      </c>
      <c r="M15" s="77">
        <v>-15</v>
      </c>
      <c r="N15" s="73">
        <f>HLOOKUP($R$6,VykonyTC_tab!$9:$52,L15,FALSE)*$N$2</f>
        <v>92.01</v>
      </c>
      <c r="O15" s="73">
        <f>HLOOKUP($S$6,VykonyTC_tab!$9:$52,L15,FALSE)</f>
        <v>2.0699999999999998</v>
      </c>
      <c r="P15" s="73">
        <f>HLOOKUP($U$6,VykonyTC_tab!$9:$52,$L15,FALSE)*$N$2</f>
        <v>83.1</v>
      </c>
      <c r="Q15" s="73">
        <f>HLOOKUP($V$6,VykonyTC_tab!$9:$52,$L15,FALSE)</f>
        <v>1.68</v>
      </c>
    </row>
    <row r="16" spans="2:22" x14ac:dyDescent="0.25">
      <c r="C16" s="2"/>
      <c r="D16" s="2"/>
      <c r="G16" s="38"/>
      <c r="H16" s="31"/>
      <c r="I16" s="31">
        <v>12</v>
      </c>
      <c r="J16" s="65" t="s">
        <v>413</v>
      </c>
      <c r="K16" s="2"/>
      <c r="L16" s="77">
        <v>10</v>
      </c>
      <c r="M16" s="77">
        <v>-14</v>
      </c>
      <c r="N16" s="73">
        <f>HLOOKUP($R$6,VykonyTC_tab!$9:$52,L16,FALSE)*$N$2</f>
        <v>101.37448275862069</v>
      </c>
      <c r="O16" s="73">
        <f>HLOOKUP($S$6,VykonyTC_tab!$9:$52,L16,FALSE)</f>
        <v>2.14</v>
      </c>
      <c r="P16" s="73">
        <f>HLOOKUP($U$6,VykonyTC_tab!$9:$52,$L16,FALSE)*$N$2</f>
        <v>92.175862068965515</v>
      </c>
      <c r="Q16" s="73">
        <f>HLOOKUP($V$6,VykonyTC_tab!$9:$52,$L16,FALSE)</f>
        <v>1.7366666666666666</v>
      </c>
    </row>
    <row r="17" spans="3:19" x14ac:dyDescent="0.25">
      <c r="G17" s="38" t="s">
        <v>519</v>
      </c>
      <c r="H17" s="31" t="s">
        <v>524</v>
      </c>
      <c r="I17" s="31">
        <v>13</v>
      </c>
      <c r="J17" s="65" t="s">
        <v>413</v>
      </c>
      <c r="K17" s="2"/>
      <c r="L17" s="77">
        <v>11</v>
      </c>
      <c r="M17" s="77">
        <v>-13</v>
      </c>
      <c r="N17" s="73">
        <f>HLOOKUP($R$6,VykonyTC_tab!$9:$52,L17,FALSE)*$N$2</f>
        <v>110.73896551724137</v>
      </c>
      <c r="O17" s="73">
        <f>HLOOKUP($S$6,VykonyTC_tab!$9:$52,L17,FALSE)</f>
        <v>2.2100000000000004</v>
      </c>
      <c r="P17" s="73">
        <f>HLOOKUP($U$6,VykonyTC_tab!$9:$52,$L17,FALSE)*$N$2</f>
        <v>101.25172413793103</v>
      </c>
      <c r="Q17" s="73">
        <f>HLOOKUP($V$6,VykonyTC_tab!$9:$52,$L17,FALSE)</f>
        <v>1.7933333333333332</v>
      </c>
    </row>
    <row r="18" spans="3:19" x14ac:dyDescent="0.25">
      <c r="C18" s="2"/>
      <c r="D18" s="2"/>
      <c r="G18" s="38" t="s">
        <v>520</v>
      </c>
      <c r="H18" s="31" t="s">
        <v>525</v>
      </c>
      <c r="I18" s="31">
        <v>14</v>
      </c>
      <c r="K18" s="2"/>
      <c r="L18" s="77">
        <v>12</v>
      </c>
      <c r="M18" s="77">
        <v>-12</v>
      </c>
      <c r="N18" s="73">
        <f>HLOOKUP($R$6,VykonyTC_tab!$9:$52,L18,FALSE)*$N$2</f>
        <v>120.10344827586206</v>
      </c>
      <c r="O18" s="73">
        <f>HLOOKUP($S$6,VykonyTC_tab!$9:$52,L18,FALSE)</f>
        <v>2.2800000000000002</v>
      </c>
      <c r="P18" s="73">
        <f>HLOOKUP($U$6,VykonyTC_tab!$9:$52,$L18,FALSE)*$N$2</f>
        <v>110.32758620689654</v>
      </c>
      <c r="Q18" s="73">
        <f>HLOOKUP($V$6,VykonyTC_tab!$9:$52,$L18,FALSE)</f>
        <v>1.8499999999999999</v>
      </c>
    </row>
    <row r="19" spans="3:19" x14ac:dyDescent="0.25">
      <c r="C19" s="2"/>
      <c r="D19" s="2"/>
      <c r="G19" s="38" t="s">
        <v>521</v>
      </c>
      <c r="H19" s="31" t="s">
        <v>526</v>
      </c>
      <c r="I19" s="31">
        <v>15</v>
      </c>
      <c r="J19" s="65" t="s">
        <v>414</v>
      </c>
      <c r="K19" s="2"/>
      <c r="L19" s="77">
        <v>13</v>
      </c>
      <c r="M19" s="77">
        <v>-11</v>
      </c>
      <c r="N19" s="73">
        <f>HLOOKUP($R$6,VykonyTC_tab!$9:$52,L19,FALSE)*$N$2</f>
        <v>123.54827586206896</v>
      </c>
      <c r="O19" s="73">
        <f>HLOOKUP($S$6,VykonyTC_tab!$9:$52,L19,FALSE)</f>
        <v>2.3360000000000003</v>
      </c>
      <c r="P19" s="73">
        <f>HLOOKUP($U$6,VykonyTC_tab!$9:$52,$L19,FALSE)*$N$2</f>
        <v>112.29827586206896</v>
      </c>
      <c r="Q19" s="73">
        <f>HLOOKUP($V$6,VykonyTC_tab!$9:$52,$L19,FALSE)</f>
        <v>1.89</v>
      </c>
    </row>
    <row r="20" spans="3:19" x14ac:dyDescent="0.25">
      <c r="C20" s="2"/>
      <c r="D20" s="2"/>
      <c r="G20" s="38" t="s">
        <v>522</v>
      </c>
      <c r="H20" s="31" t="s">
        <v>527</v>
      </c>
      <c r="I20" s="31">
        <v>16</v>
      </c>
      <c r="J20" s="65" t="s">
        <v>414</v>
      </c>
      <c r="K20" s="2"/>
      <c r="L20" s="77">
        <v>14</v>
      </c>
      <c r="M20" s="77">
        <v>-10</v>
      </c>
      <c r="N20" s="73">
        <f>HLOOKUP($R$6,VykonyTC_tab!$9:$52,L20,FALSE)*$N$2</f>
        <v>126.99310344827586</v>
      </c>
      <c r="O20" s="73">
        <f>HLOOKUP($S$6,VykonyTC_tab!$9:$52,L20,FALSE)</f>
        <v>2.3920000000000003</v>
      </c>
      <c r="P20" s="73">
        <f>HLOOKUP($U$6,VykonyTC_tab!$9:$52,$L20,FALSE)*$N$2</f>
        <v>114.26896551724138</v>
      </c>
      <c r="Q20" s="73">
        <f>HLOOKUP($V$6,VykonyTC_tab!$9:$52,$L20,FALSE)</f>
        <v>1.93</v>
      </c>
      <c r="R20" s="2"/>
      <c r="S20" s="2"/>
    </row>
    <row r="21" spans="3:19" x14ac:dyDescent="0.25">
      <c r="C21" s="2"/>
      <c r="D21" s="2"/>
      <c r="G21" s="38" t="s">
        <v>523</v>
      </c>
      <c r="H21" s="31" t="s">
        <v>528</v>
      </c>
      <c r="I21" s="31">
        <v>17</v>
      </c>
      <c r="J21" s="65" t="s">
        <v>414</v>
      </c>
      <c r="L21" s="77">
        <v>15</v>
      </c>
      <c r="M21" s="77">
        <v>-9</v>
      </c>
      <c r="N21" s="73">
        <f>HLOOKUP($R$6,VykonyTC_tab!$9:$52,L21,FALSE)*$N$2</f>
        <v>130.43793103448274</v>
      </c>
      <c r="O21" s="73">
        <f>HLOOKUP($S$6,VykonyTC_tab!$9:$52,L21,FALSE)</f>
        <v>2.4480000000000004</v>
      </c>
      <c r="P21" s="73">
        <f>HLOOKUP($U$6,VykonyTC_tab!$9:$52,$L21,FALSE)*$N$2</f>
        <v>116.23965517241379</v>
      </c>
      <c r="Q21" s="73">
        <f>HLOOKUP($V$6,VykonyTC_tab!$9:$52,$L21,FALSE)</f>
        <v>1.97</v>
      </c>
      <c r="R21" s="2"/>
      <c r="S21" s="2"/>
    </row>
    <row r="22" spans="3:19" x14ac:dyDescent="0.25">
      <c r="C22" s="2"/>
      <c r="D22" s="2"/>
      <c r="G22" s="38"/>
      <c r="H22" s="31"/>
      <c r="I22" s="31">
        <v>18</v>
      </c>
      <c r="J22" s="65" t="s">
        <v>414</v>
      </c>
      <c r="L22" s="77">
        <v>16</v>
      </c>
      <c r="M22" s="77">
        <v>-8</v>
      </c>
      <c r="N22" s="73">
        <f>HLOOKUP($R$6,VykonyTC_tab!$9:$52,L22,FALSE)*$N$2</f>
        <v>133.88275862068963</v>
      </c>
      <c r="O22" s="73">
        <f>HLOOKUP($S$6,VykonyTC_tab!$9:$52,L22,FALSE)</f>
        <v>2.5040000000000004</v>
      </c>
      <c r="P22" s="73">
        <f>HLOOKUP($U$6,VykonyTC_tab!$9:$52,$L22,FALSE)*$N$2</f>
        <v>118.2103448275862</v>
      </c>
      <c r="Q22" s="73">
        <f>HLOOKUP($V$6,VykonyTC_tab!$9:$52,$L22,FALSE)</f>
        <v>2.0100000000000002</v>
      </c>
      <c r="R22" s="2"/>
      <c r="S22" s="2"/>
    </row>
    <row r="23" spans="3:19" x14ac:dyDescent="0.25">
      <c r="D23" s="2"/>
      <c r="G23" s="38" t="s">
        <v>442</v>
      </c>
      <c r="H23" s="31" t="s">
        <v>252</v>
      </c>
      <c r="I23" s="31">
        <v>19</v>
      </c>
      <c r="J23" s="65" t="s">
        <v>414</v>
      </c>
      <c r="L23" s="77">
        <v>17</v>
      </c>
      <c r="M23" s="77">
        <v>-7</v>
      </c>
      <c r="N23" s="73">
        <f>HLOOKUP($R$6,VykonyTC_tab!$9:$52,L23,FALSE)*$N$2</f>
        <v>137.32758620689651</v>
      </c>
      <c r="O23" s="73">
        <f>HLOOKUP($S$6,VykonyTC_tab!$9:$52,L23,FALSE)</f>
        <v>2.5600000000000005</v>
      </c>
      <c r="P23" s="73">
        <f>HLOOKUP($U$6,VykonyTC_tab!$9:$52,$L23,FALSE)*$N$2</f>
        <v>120.18103448275862</v>
      </c>
      <c r="Q23" s="73">
        <f>HLOOKUP($V$6,VykonyTC_tab!$9:$52,$L23,FALSE)</f>
        <v>2.0500000000000003</v>
      </c>
      <c r="R23" s="2"/>
      <c r="S23" s="2"/>
    </row>
    <row r="24" spans="3:19" x14ac:dyDescent="0.25">
      <c r="G24" s="38" t="s">
        <v>443</v>
      </c>
      <c r="H24" s="31" t="s">
        <v>253</v>
      </c>
      <c r="I24" s="31">
        <v>20</v>
      </c>
      <c r="J24" s="65" t="s">
        <v>414</v>
      </c>
      <c r="L24" s="77">
        <v>18</v>
      </c>
      <c r="M24" s="77">
        <v>-6</v>
      </c>
      <c r="N24" s="73">
        <f>HLOOKUP($R$6,VykonyTC_tab!$9:$52,L24,FALSE)*$N$2</f>
        <v>139.7413793103448</v>
      </c>
      <c r="O24" s="73">
        <f>HLOOKUP($S$6,VykonyTC_tab!$9:$52,L24,FALSE)</f>
        <v>2.6277777777777782</v>
      </c>
      <c r="P24" s="73">
        <f>HLOOKUP($U$6,VykonyTC_tab!$9:$52,$L24,FALSE)*$N$2</f>
        <v>122.65517241379311</v>
      </c>
      <c r="Q24" s="73">
        <f>HLOOKUP($V$6,VykonyTC_tab!$9:$52,$L24,FALSE)</f>
        <v>2.1055555555555556</v>
      </c>
      <c r="R24" s="2"/>
      <c r="S24" s="2"/>
    </row>
    <row r="25" spans="3:19" x14ac:dyDescent="0.25">
      <c r="D25" s="2"/>
      <c r="G25" s="38" t="s">
        <v>444</v>
      </c>
      <c r="H25" s="31" t="s">
        <v>254</v>
      </c>
      <c r="I25" s="31">
        <v>21</v>
      </c>
      <c r="J25" s="65" t="s">
        <v>414</v>
      </c>
      <c r="L25" s="77">
        <v>19</v>
      </c>
      <c r="M25" s="77">
        <v>-5</v>
      </c>
      <c r="N25" s="73">
        <f>HLOOKUP($R$6,VykonyTC_tab!$9:$52,L25,FALSE)*$N$2</f>
        <v>142.15517241379308</v>
      </c>
      <c r="O25" s="73">
        <f>HLOOKUP($S$6,VykonyTC_tab!$9:$52,L25,FALSE)</f>
        <v>2.6955555555555559</v>
      </c>
      <c r="P25" s="73">
        <f>HLOOKUP($U$6,VykonyTC_tab!$9:$52,$L25,FALSE)*$N$2</f>
        <v>125.12931034482759</v>
      </c>
      <c r="Q25" s="73">
        <f>HLOOKUP($V$6,VykonyTC_tab!$9:$52,$L25,FALSE)</f>
        <v>2.161111111111111</v>
      </c>
    </row>
    <row r="26" spans="3:19" x14ac:dyDescent="0.25">
      <c r="C26" s="2"/>
      <c r="D26" s="2"/>
      <c r="G26" s="38" t="s">
        <v>445</v>
      </c>
      <c r="H26" s="31" t="s">
        <v>255</v>
      </c>
      <c r="I26" s="31">
        <v>22</v>
      </c>
      <c r="J26" s="65" t="s">
        <v>414</v>
      </c>
      <c r="L26" s="77">
        <v>20</v>
      </c>
      <c r="M26" s="77">
        <v>-4</v>
      </c>
      <c r="N26" s="73">
        <f>HLOOKUP($R$6,VykonyTC_tab!$9:$52,L26,FALSE)*$N$2</f>
        <v>144.56896551724137</v>
      </c>
      <c r="O26" s="73">
        <f>HLOOKUP($S$6,VykonyTC_tab!$9:$52,L26,FALSE)</f>
        <v>2.7633333333333336</v>
      </c>
      <c r="P26" s="73">
        <f>HLOOKUP($U$6,VykonyTC_tab!$9:$52,$L26,FALSE)*$N$2</f>
        <v>127.60344827586206</v>
      </c>
      <c r="Q26" s="73">
        <f>HLOOKUP($V$6,VykonyTC_tab!$9:$52,$L26,FALSE)</f>
        <v>2.2166666666666663</v>
      </c>
    </row>
    <row r="27" spans="3:19" x14ac:dyDescent="0.25">
      <c r="C27" s="2"/>
      <c r="D27" s="2"/>
      <c r="G27" s="38" t="s">
        <v>446</v>
      </c>
      <c r="H27" s="31" t="s">
        <v>141</v>
      </c>
      <c r="I27" s="31">
        <v>23</v>
      </c>
      <c r="J27" s="65" t="s">
        <v>414</v>
      </c>
      <c r="L27" s="77">
        <v>21</v>
      </c>
      <c r="M27" s="77">
        <v>-3</v>
      </c>
      <c r="N27" s="73">
        <f>HLOOKUP($R$6,VykonyTC_tab!$9:$52,L27,FALSE)*$N$2</f>
        <v>146.98275862068965</v>
      </c>
      <c r="O27" s="73">
        <f>HLOOKUP($S$6,VykonyTC_tab!$9:$52,L27,FALSE)</f>
        <v>2.8311111111111114</v>
      </c>
      <c r="P27" s="73">
        <f>HLOOKUP($U$6,VykonyTC_tab!$9:$52,$L27,FALSE)*$N$2</f>
        <v>130.07758620689657</v>
      </c>
      <c r="Q27" s="73">
        <f>HLOOKUP($V$6,VykonyTC_tab!$9:$52,$L27,FALSE)</f>
        <v>2.2722222222222217</v>
      </c>
    </row>
    <row r="28" spans="3:19" x14ac:dyDescent="0.25">
      <c r="C28" s="2"/>
      <c r="D28" s="2"/>
      <c r="G28" s="38" t="s">
        <v>447</v>
      </c>
      <c r="H28" s="31" t="s">
        <v>142</v>
      </c>
      <c r="I28" s="31">
        <v>24</v>
      </c>
      <c r="J28" s="65" t="s">
        <v>414</v>
      </c>
      <c r="L28" s="77">
        <v>22</v>
      </c>
      <c r="M28" s="77">
        <v>-2</v>
      </c>
      <c r="N28" s="73">
        <f>HLOOKUP($R$6,VykonyTC_tab!$9:$52,L28,FALSE)*$N$2</f>
        <v>149.39655172413791</v>
      </c>
      <c r="O28" s="73">
        <f>HLOOKUP($S$6,VykonyTC_tab!$9:$52,L28,FALSE)</f>
        <v>2.8988888888888891</v>
      </c>
      <c r="P28" s="73">
        <f>HLOOKUP($U$6,VykonyTC_tab!$9:$52,$L28,FALSE)*$N$2</f>
        <v>132.55172413793105</v>
      </c>
      <c r="Q28" s="73">
        <f>HLOOKUP($V$6,VykonyTC_tab!$9:$52,$L28,FALSE)</f>
        <v>2.3277777777777771</v>
      </c>
    </row>
    <row r="29" spans="3:19" x14ac:dyDescent="0.25">
      <c r="C29" s="2"/>
      <c r="D29" s="2"/>
      <c r="G29" s="38" t="s">
        <v>448</v>
      </c>
      <c r="H29" s="31" t="s">
        <v>143</v>
      </c>
      <c r="I29" s="31">
        <v>25</v>
      </c>
      <c r="J29" s="65" t="s">
        <v>414</v>
      </c>
      <c r="L29" s="77">
        <v>23</v>
      </c>
      <c r="M29" s="77">
        <v>-1</v>
      </c>
      <c r="N29" s="73">
        <f>HLOOKUP($R$6,VykonyTC_tab!$9:$52,L29,FALSE)*$N$2</f>
        <v>151.81034482758619</v>
      </c>
      <c r="O29" s="73">
        <f>HLOOKUP($S$6,VykonyTC_tab!$9:$52,L29,FALSE)</f>
        <v>2.9666666666666668</v>
      </c>
      <c r="P29" s="73">
        <f>HLOOKUP($U$6,VykonyTC_tab!$9:$52,$L29,FALSE)*$N$2</f>
        <v>135.02586206896552</v>
      </c>
      <c r="Q29" s="73">
        <f>HLOOKUP($V$6,VykonyTC_tab!$9:$52,$L29,FALSE)</f>
        <v>2.3833333333333324</v>
      </c>
    </row>
    <row r="30" spans="3:19" x14ac:dyDescent="0.25">
      <c r="C30" s="2"/>
      <c r="D30" s="2"/>
      <c r="G30" s="38" t="s">
        <v>449</v>
      </c>
      <c r="H30" s="31" t="s">
        <v>144</v>
      </c>
      <c r="I30" s="31">
        <v>26</v>
      </c>
      <c r="L30" s="77">
        <v>24</v>
      </c>
      <c r="M30" s="77">
        <v>0</v>
      </c>
      <c r="N30" s="73">
        <f>HLOOKUP($R$6,VykonyTC_tab!$9:$52,L30,FALSE)*$N$2</f>
        <v>154.22413793103448</v>
      </c>
      <c r="O30" s="73">
        <f>HLOOKUP($S$6,VykonyTC_tab!$9:$52,L30,FALSE)</f>
        <v>3.0344444444444445</v>
      </c>
      <c r="P30" s="73">
        <f>HLOOKUP($U$6,VykonyTC_tab!$9:$52,$L30,FALSE)*$N$2</f>
        <v>137.5</v>
      </c>
      <c r="Q30" s="73">
        <f>HLOOKUP($V$6,VykonyTC_tab!$9:$52,$L30,FALSE)</f>
        <v>2.4388888888888878</v>
      </c>
      <c r="R30" s="2"/>
      <c r="S30" s="2"/>
    </row>
    <row r="31" spans="3:19" x14ac:dyDescent="0.25">
      <c r="G31" s="38"/>
      <c r="H31" s="31"/>
      <c r="I31" s="31">
        <v>27</v>
      </c>
      <c r="L31" s="77">
        <v>25</v>
      </c>
      <c r="M31" s="77">
        <v>1</v>
      </c>
      <c r="N31" s="73">
        <f>HLOOKUP($R$6,VykonyTC_tab!$9:$52,L31,FALSE)*$N$2</f>
        <v>156.63793103448273</v>
      </c>
      <c r="O31" s="73">
        <f>HLOOKUP($S$6,VykonyTC_tab!$9:$52,L31,FALSE)</f>
        <v>3.1022222222222222</v>
      </c>
      <c r="P31" s="73">
        <f>HLOOKUP($U$6,VykonyTC_tab!$9:$52,$L31,FALSE)*$N$2</f>
        <v>139.97413793103448</v>
      </c>
      <c r="Q31" s="73">
        <f>HLOOKUP($V$6,VykonyTC_tab!$9:$52,$L31,FALSE)</f>
        <v>2.4944444444444431</v>
      </c>
      <c r="R31" s="2"/>
      <c r="S31" s="2"/>
    </row>
    <row r="32" spans="3:19" x14ac:dyDescent="0.25">
      <c r="C32" s="2"/>
      <c r="D32" s="2"/>
      <c r="G32" s="38" t="s">
        <v>450</v>
      </c>
      <c r="H32" s="31" t="s">
        <v>514</v>
      </c>
      <c r="I32" s="31">
        <v>28</v>
      </c>
      <c r="L32" s="77">
        <v>26</v>
      </c>
      <c r="M32" s="77">
        <v>2</v>
      </c>
      <c r="N32" s="73">
        <f>HLOOKUP($R$6,VykonyTC_tab!$9:$52,L32,FALSE)*$N$2</f>
        <v>159.05172413793105</v>
      </c>
      <c r="O32" s="73">
        <f>HLOOKUP($S$6,VykonyTC_tab!$9:$52,L32,FALSE)</f>
        <v>3.1700000000000004</v>
      </c>
      <c r="P32" s="73">
        <f>HLOOKUP($U$6,VykonyTC_tab!$9:$52,$L32,FALSE)*$N$2</f>
        <v>142.44827586206895</v>
      </c>
      <c r="Q32" s="73">
        <f>HLOOKUP($V$6,VykonyTC_tab!$9:$52,$L32,FALSE)</f>
        <v>2.5500000000000003</v>
      </c>
      <c r="R32" s="2"/>
      <c r="S32" s="2"/>
    </row>
    <row r="33" spans="3:19" x14ac:dyDescent="0.25">
      <c r="C33" s="2"/>
      <c r="D33" s="2"/>
      <c r="G33" s="38" t="s">
        <v>451</v>
      </c>
      <c r="H33" s="31" t="s">
        <v>515</v>
      </c>
      <c r="I33" s="31">
        <v>29</v>
      </c>
      <c r="J33" s="65"/>
      <c r="K33" s="2"/>
      <c r="L33" s="77">
        <v>27</v>
      </c>
      <c r="M33" s="77">
        <v>3</v>
      </c>
      <c r="N33" s="73">
        <f>HLOOKUP($R$6,VykonyTC_tab!$9:$52,L33,FALSE)*$N$2</f>
        <v>164.00172413793103</v>
      </c>
      <c r="O33" s="73">
        <f>HLOOKUP($S$6,VykonyTC_tab!$9:$52,L33,FALSE)</f>
        <v>3.2700000000000005</v>
      </c>
      <c r="P33" s="73">
        <f>HLOOKUP($U$6,VykonyTC_tab!$9:$52,$L33,FALSE)*$N$2</f>
        <v>147.10344827586204</v>
      </c>
      <c r="Q33" s="73">
        <f>HLOOKUP($V$6,VykonyTC_tab!$9:$52,$L33,FALSE)</f>
        <v>2.6220000000000003</v>
      </c>
      <c r="R33" s="2"/>
      <c r="S33" s="2"/>
    </row>
    <row r="34" spans="3:19" x14ac:dyDescent="0.25">
      <c r="C34" s="2"/>
      <c r="D34" s="2"/>
      <c r="G34" s="38" t="s">
        <v>452</v>
      </c>
      <c r="H34" s="31" t="s">
        <v>516</v>
      </c>
      <c r="I34" s="31">
        <v>30</v>
      </c>
      <c r="J34" s="65"/>
      <c r="K34" s="2"/>
      <c r="L34" s="77">
        <v>28</v>
      </c>
      <c r="M34" s="77">
        <v>4</v>
      </c>
      <c r="N34" s="73">
        <f>HLOOKUP($R$6,VykonyTC_tab!$9:$52,L34,FALSE)*$N$2</f>
        <v>168.95172413793102</v>
      </c>
      <c r="O34" s="73">
        <f>HLOOKUP($S$6,VykonyTC_tab!$9:$52,L34,FALSE)</f>
        <v>3.3700000000000006</v>
      </c>
      <c r="P34" s="73">
        <f>HLOOKUP($U$6,VykonyTC_tab!$9:$52,$L34,FALSE)*$N$2</f>
        <v>151.75862068965515</v>
      </c>
      <c r="Q34" s="73">
        <f>HLOOKUP($V$6,VykonyTC_tab!$9:$52,$L34,FALSE)</f>
        <v>2.6940000000000004</v>
      </c>
      <c r="R34" s="2"/>
      <c r="S34" s="2"/>
    </row>
    <row r="35" spans="3:19" x14ac:dyDescent="0.25">
      <c r="C35" s="2"/>
      <c r="D35" s="2"/>
      <c r="I35" s="31">
        <v>31</v>
      </c>
      <c r="J35" s="65"/>
      <c r="K35" s="2"/>
      <c r="L35" s="77">
        <v>29</v>
      </c>
      <c r="M35" s="77">
        <v>5</v>
      </c>
      <c r="N35" s="73">
        <f>HLOOKUP($R$6,VykonyTC_tab!$9:$52,L35,FALSE)*$N$2</f>
        <v>173.90172413793104</v>
      </c>
      <c r="O35" s="73">
        <f>HLOOKUP($S$6,VykonyTC_tab!$9:$52,L35,FALSE)</f>
        <v>3.4700000000000006</v>
      </c>
      <c r="P35" s="73">
        <f>HLOOKUP($U$6,VykonyTC_tab!$9:$52,$L35,FALSE)*$N$2</f>
        <v>156.41379310344826</v>
      </c>
      <c r="Q35" s="73">
        <f>HLOOKUP($V$6,VykonyTC_tab!$9:$52,$L35,FALSE)</f>
        <v>2.7660000000000005</v>
      </c>
    </row>
    <row r="36" spans="3:19" x14ac:dyDescent="0.25">
      <c r="C36" s="2"/>
      <c r="D36" s="2"/>
      <c r="I36" s="31">
        <v>32</v>
      </c>
      <c r="J36" s="65"/>
      <c r="K36" s="2"/>
      <c r="L36" s="77">
        <v>30</v>
      </c>
      <c r="M36" s="77">
        <v>6</v>
      </c>
      <c r="N36" s="73">
        <f>HLOOKUP($R$6,VykonyTC_tab!$9:$52,L36,FALSE)*$N$2</f>
        <v>178.85172413793103</v>
      </c>
      <c r="O36" s="73">
        <f>HLOOKUP($S$6,VykonyTC_tab!$9:$52,L36,FALSE)</f>
        <v>3.5700000000000007</v>
      </c>
      <c r="P36" s="73">
        <f>HLOOKUP($U$6,VykonyTC_tab!$9:$52,$L36,FALSE)*$N$2</f>
        <v>161.06896551724134</v>
      </c>
      <c r="Q36" s="73">
        <f>HLOOKUP($V$6,VykonyTC_tab!$9:$52,$L36,FALSE)</f>
        <v>2.8380000000000005</v>
      </c>
    </row>
    <row r="37" spans="3:19" x14ac:dyDescent="0.25">
      <c r="I37" s="31">
        <v>33</v>
      </c>
      <c r="J37" s="65"/>
      <c r="K37" s="2"/>
      <c r="L37" s="77">
        <v>31</v>
      </c>
      <c r="M37" s="77">
        <v>7</v>
      </c>
      <c r="N37" s="73">
        <f>HLOOKUP($R$6,VykonyTC_tab!$9:$52,L37,FALSE)*$N$2</f>
        <v>183.80172413793105</v>
      </c>
      <c r="O37" s="73">
        <f>HLOOKUP($S$6,VykonyTC_tab!$9:$52,L37,FALSE)</f>
        <v>3.6700000000000004</v>
      </c>
      <c r="P37" s="73">
        <f>HLOOKUP($U$6,VykonyTC_tab!$9:$52,$L37,FALSE)*$N$2</f>
        <v>165.72413793103448</v>
      </c>
      <c r="Q37" s="73">
        <f>HLOOKUP($V$6,VykonyTC_tab!$9:$52,$L37,FALSE)</f>
        <v>2.91</v>
      </c>
    </row>
    <row r="38" spans="3:19" x14ac:dyDescent="0.25">
      <c r="C38" s="2"/>
      <c r="D38" s="2"/>
      <c r="I38" s="31">
        <v>34</v>
      </c>
      <c r="L38" s="77">
        <v>32</v>
      </c>
      <c r="M38" s="77">
        <v>8</v>
      </c>
      <c r="N38" s="73">
        <f>HLOOKUP($R$6,VykonyTC_tab!$9:$52,L38,FALSE)*$N$2</f>
        <v>188.37931034482759</v>
      </c>
      <c r="O38" s="73">
        <f>HLOOKUP($S$6,VykonyTC_tab!$9:$52,L38,FALSE)</f>
        <v>3.7500000000000004</v>
      </c>
      <c r="P38" s="73">
        <f>HLOOKUP($U$6,VykonyTC_tab!$9:$52,$L38,FALSE)*$N$2</f>
        <v>170.08448275862071</v>
      </c>
      <c r="Q38" s="73">
        <f>HLOOKUP($V$6,VykonyTC_tab!$9:$52,$L38,FALSE)</f>
        <v>2.9740000000000002</v>
      </c>
    </row>
    <row r="39" spans="3:19" x14ac:dyDescent="0.25">
      <c r="C39" s="2"/>
      <c r="D39" s="2"/>
      <c r="I39" s="31">
        <v>35</v>
      </c>
      <c r="J39" s="65"/>
      <c r="K39" s="2"/>
      <c r="L39" s="77">
        <v>33</v>
      </c>
      <c r="M39" s="77">
        <v>9</v>
      </c>
      <c r="N39" s="73">
        <f>HLOOKUP($R$6,VykonyTC_tab!$9:$52,L39,FALSE)*$N$2</f>
        <v>192.95689655172413</v>
      </c>
      <c r="O39" s="73">
        <f>HLOOKUP($S$6,VykonyTC_tab!$9:$52,L39,FALSE)</f>
        <v>3.8300000000000005</v>
      </c>
      <c r="P39" s="73">
        <f>HLOOKUP($U$6,VykonyTC_tab!$9:$52,$L39,FALSE)*$N$2</f>
        <v>174.44482758620691</v>
      </c>
      <c r="Q39" s="73">
        <f>HLOOKUP($V$6,VykonyTC_tab!$9:$52,$L39,FALSE)</f>
        <v>3.0380000000000003</v>
      </c>
      <c r="R39" s="2"/>
      <c r="S39" s="2"/>
    </row>
    <row r="40" spans="3:19" x14ac:dyDescent="0.25">
      <c r="C40" s="2"/>
      <c r="D40" s="2"/>
      <c r="G40" s="38"/>
      <c r="H40" s="31"/>
      <c r="I40" s="31">
        <v>36</v>
      </c>
      <c r="J40" s="65"/>
      <c r="K40" s="2"/>
      <c r="L40" s="77">
        <v>34</v>
      </c>
      <c r="M40" s="77">
        <v>10</v>
      </c>
      <c r="N40" s="73">
        <f>HLOOKUP($R$6,VykonyTC_tab!$9:$52,L40,FALSE)*$N$2</f>
        <v>197.5344827586207</v>
      </c>
      <c r="O40" s="73">
        <f>HLOOKUP($S$6,VykonyTC_tab!$9:$52,L40,FALSE)</f>
        <v>3.9100000000000006</v>
      </c>
      <c r="P40" s="73">
        <f>HLOOKUP($U$6,VykonyTC_tab!$9:$52,$L40,FALSE)*$N$2</f>
        <v>178.80517241379312</v>
      </c>
      <c r="Q40" s="73">
        <f>HLOOKUP($V$6,VykonyTC_tab!$9:$52,$L40,FALSE)</f>
        <v>3.1020000000000003</v>
      </c>
      <c r="R40" s="2"/>
      <c r="S40" s="2"/>
    </row>
    <row r="41" spans="3:19" x14ac:dyDescent="0.25">
      <c r="C41" s="2"/>
      <c r="D41" s="2"/>
      <c r="G41" s="38"/>
      <c r="H41" s="31"/>
      <c r="I41" s="31">
        <v>37</v>
      </c>
      <c r="J41" s="65"/>
      <c r="K41" s="2"/>
      <c r="L41" s="77">
        <v>35</v>
      </c>
      <c r="M41" s="77">
        <v>11</v>
      </c>
      <c r="N41" s="73">
        <f>HLOOKUP($R$6,VykonyTC_tab!$9:$52,L41,FALSE)*$N$2</f>
        <v>202.11206896551727</v>
      </c>
      <c r="O41" s="73">
        <f>HLOOKUP($S$6,VykonyTC_tab!$9:$52,L41,FALSE)</f>
        <v>3.9900000000000007</v>
      </c>
      <c r="P41" s="73">
        <f>HLOOKUP($U$6,VykonyTC_tab!$9:$52,$L41,FALSE)*$N$2</f>
        <v>183.16551724137935</v>
      </c>
      <c r="Q41" s="73">
        <f>HLOOKUP($V$6,VykonyTC_tab!$9:$52,$L41,FALSE)</f>
        <v>3.1660000000000004</v>
      </c>
      <c r="R41" s="2"/>
      <c r="S41" s="2"/>
    </row>
    <row r="42" spans="3:19" x14ac:dyDescent="0.25">
      <c r="C42" s="2"/>
      <c r="D42" s="2"/>
      <c r="G42" s="38"/>
      <c r="H42" s="31"/>
      <c r="I42" s="31">
        <v>38</v>
      </c>
      <c r="J42" s="65"/>
      <c r="K42" s="2"/>
      <c r="L42" s="77">
        <v>36</v>
      </c>
      <c r="M42" s="77">
        <v>12</v>
      </c>
      <c r="N42" s="73">
        <f>HLOOKUP($R$6,VykonyTC_tab!$9:$52,L42,FALSE)*$N$2</f>
        <v>206.68965517241381</v>
      </c>
      <c r="O42" s="73">
        <f>HLOOKUP($S$6,VykonyTC_tab!$9:$52,L42,FALSE)</f>
        <v>4.07</v>
      </c>
      <c r="P42" s="73">
        <f>HLOOKUP($U$6,VykonyTC_tab!$9:$52,$L42,FALSE)*$N$2</f>
        <v>187.52586206896552</v>
      </c>
      <c r="Q42" s="73">
        <f>HLOOKUP($V$6,VykonyTC_tab!$9:$52,$L42,FALSE)</f>
        <v>3.2300000000000004</v>
      </c>
      <c r="R42" s="2"/>
      <c r="S42" s="2"/>
    </row>
    <row r="43" spans="3:19" x14ac:dyDescent="0.25">
      <c r="G43" s="38"/>
      <c r="H43" s="31"/>
      <c r="I43" s="31">
        <v>39</v>
      </c>
      <c r="J43" s="65"/>
      <c r="K43" s="2"/>
      <c r="L43" s="77">
        <v>37</v>
      </c>
      <c r="M43" s="77">
        <v>13</v>
      </c>
      <c r="N43" s="73">
        <f>HLOOKUP($R$6,VykonyTC_tab!$9:$52,L43,FALSE)*$N$2</f>
        <v>208.99719827586208</v>
      </c>
      <c r="O43" s="73">
        <f>HLOOKUP($S$6,VykonyTC_tab!$9:$52,L43,FALSE)</f>
        <v>4.2050000000000001</v>
      </c>
      <c r="P43" s="73">
        <f>HLOOKUP($U$6,VykonyTC_tab!$9:$52,$L43,FALSE)*$N$2</f>
        <v>189.93012931034485</v>
      </c>
      <c r="Q43" s="73">
        <f>HLOOKUP($V$6,VykonyTC_tab!$9:$52,$L43,FALSE)</f>
        <v>3.3075000000000006</v>
      </c>
      <c r="R43" s="2"/>
      <c r="S43" s="2"/>
    </row>
    <row r="44" spans="3:19" x14ac:dyDescent="0.25">
      <c r="G44" s="38"/>
      <c r="H44" s="31"/>
      <c r="I44" s="31">
        <v>40</v>
      </c>
      <c r="L44" s="77">
        <v>38</v>
      </c>
      <c r="M44" s="77">
        <v>14</v>
      </c>
      <c r="N44" s="73">
        <f>HLOOKUP($R$6,VykonyTC_tab!$9:$52,L44,FALSE)*$N$2</f>
        <v>211.30474137931034</v>
      </c>
      <c r="O44" s="73">
        <f>HLOOKUP($S$6,VykonyTC_tab!$9:$52,L44,FALSE)</f>
        <v>4.34</v>
      </c>
      <c r="P44" s="73">
        <f>HLOOKUP($U$6,VykonyTC_tab!$9:$52,$L44,FALSE)*$N$2</f>
        <v>192.33439655172415</v>
      </c>
      <c r="Q44" s="73">
        <f>HLOOKUP($V$6,VykonyTC_tab!$9:$52,$L44,FALSE)</f>
        <v>3.3850000000000007</v>
      </c>
    </row>
    <row r="45" spans="3:19" x14ac:dyDescent="0.25">
      <c r="D45" s="2"/>
      <c r="G45" s="38"/>
      <c r="H45" s="31"/>
      <c r="I45" s="31">
        <v>41</v>
      </c>
      <c r="J45" s="65"/>
      <c r="K45" s="2"/>
      <c r="L45" s="77">
        <v>39</v>
      </c>
      <c r="M45" s="77">
        <v>15</v>
      </c>
      <c r="N45" s="73">
        <f>HLOOKUP($R$6,VykonyTC_tab!$9:$52,L45,FALSE)*$N$2</f>
        <v>213.61228448275861</v>
      </c>
      <c r="O45" s="73">
        <f>HLOOKUP($S$6,VykonyTC_tab!$9:$52,L45,FALSE)</f>
        <v>4.4749999999999996</v>
      </c>
      <c r="P45" s="73">
        <f>HLOOKUP($U$6,VykonyTC_tab!$9:$52,$L45,FALSE)*$N$2</f>
        <v>194.73866379310346</v>
      </c>
      <c r="Q45" s="73">
        <f>HLOOKUP($V$6,VykonyTC_tab!$9:$52,$L45,FALSE)</f>
        <v>3.4625000000000008</v>
      </c>
    </row>
    <row r="46" spans="3:19" x14ac:dyDescent="0.25">
      <c r="G46" s="38"/>
      <c r="H46" s="31"/>
      <c r="I46" s="31">
        <v>42</v>
      </c>
      <c r="J46" s="65"/>
      <c r="K46" s="2"/>
      <c r="L46" s="77">
        <v>40</v>
      </c>
      <c r="M46" s="77">
        <v>16</v>
      </c>
      <c r="N46" s="73">
        <f>HLOOKUP($R$6,VykonyTC_tab!$9:$52,L46,FALSE)*$N$2</f>
        <v>215.91982758620688</v>
      </c>
      <c r="O46" s="73">
        <f>HLOOKUP($S$6,VykonyTC_tab!$9:$52,L46,FALSE)</f>
        <v>4.6099999999999994</v>
      </c>
      <c r="P46" s="73">
        <f>HLOOKUP($U$6,VykonyTC_tab!$9:$52,$L46,FALSE)*$N$2</f>
        <v>197.14293103448279</v>
      </c>
      <c r="Q46" s="73">
        <f>HLOOKUP($V$6,VykonyTC_tab!$9:$52,$L46,FALSE)</f>
        <v>3.5400000000000009</v>
      </c>
    </row>
    <row r="47" spans="3:19" x14ac:dyDescent="0.25">
      <c r="C47" s="2"/>
      <c r="D47" s="2"/>
      <c r="G47" s="38"/>
      <c r="H47" s="31"/>
      <c r="I47" s="31">
        <v>43</v>
      </c>
      <c r="J47" s="65"/>
      <c r="K47" s="2"/>
      <c r="L47" s="77">
        <v>41</v>
      </c>
      <c r="M47" s="77">
        <v>17</v>
      </c>
      <c r="N47" s="73">
        <f>HLOOKUP($R$6,VykonyTC_tab!$9:$52,L47,FALSE)*$N$2</f>
        <v>218.22737068965515</v>
      </c>
      <c r="O47" s="73">
        <f>HLOOKUP($S$6,VykonyTC_tab!$9:$52,L47,FALSE)</f>
        <v>4.7449999999999992</v>
      </c>
      <c r="P47" s="73">
        <f>HLOOKUP($U$6,VykonyTC_tab!$9:$52,$L47,FALSE)*$N$2</f>
        <v>199.54719827586212</v>
      </c>
      <c r="Q47" s="73">
        <f>HLOOKUP($V$6,VykonyTC_tab!$9:$52,$L47,FALSE)</f>
        <v>3.617500000000001</v>
      </c>
    </row>
    <row r="48" spans="3:19" x14ac:dyDescent="0.25">
      <c r="C48" s="2"/>
      <c r="D48" s="2"/>
      <c r="G48" s="38"/>
      <c r="H48" s="31"/>
      <c r="I48" s="31">
        <v>44</v>
      </c>
      <c r="J48" s="65"/>
      <c r="K48" s="2"/>
      <c r="L48" s="77">
        <v>42</v>
      </c>
      <c r="M48" s="77">
        <v>18</v>
      </c>
      <c r="N48" s="73">
        <f>HLOOKUP($R$6,VykonyTC_tab!$9:$52,L48,FALSE)*$N$2</f>
        <v>220.53491379310341</v>
      </c>
      <c r="O48" s="73">
        <f>HLOOKUP($S$6,VykonyTC_tab!$9:$52,L48,FALSE)</f>
        <v>4.879999999999999</v>
      </c>
      <c r="P48" s="73">
        <f>HLOOKUP($U$6,VykonyTC_tab!$9:$52,$L48,FALSE)*$N$2</f>
        <v>201.95146551724142</v>
      </c>
      <c r="Q48" s="73">
        <f>HLOOKUP($V$6,VykonyTC_tab!$9:$52,$L48,FALSE)</f>
        <v>3.6950000000000012</v>
      </c>
    </row>
    <row r="49" spans="3:17" x14ac:dyDescent="0.25">
      <c r="C49" s="2"/>
      <c r="D49" s="2"/>
      <c r="G49" s="38"/>
      <c r="H49" s="31"/>
      <c r="I49" s="31">
        <v>45</v>
      </c>
      <c r="J49" s="65"/>
      <c r="K49" s="2"/>
      <c r="L49" s="77">
        <v>43</v>
      </c>
      <c r="M49" s="77">
        <v>19</v>
      </c>
      <c r="N49" s="73">
        <f>HLOOKUP($R$6,VykonyTC_tab!$9:$52,L49,FALSE)*$N$2</f>
        <v>222.84245689655168</v>
      </c>
      <c r="O49" s="73">
        <f>HLOOKUP($S$6,VykonyTC_tab!$9:$52,L49,FALSE)</f>
        <v>5.0149999999999988</v>
      </c>
      <c r="P49" s="73">
        <f>HLOOKUP($U$6,VykonyTC_tab!$9:$52,$L49,FALSE)*$N$2</f>
        <v>204.35573275862072</v>
      </c>
      <c r="Q49" s="73">
        <f>HLOOKUP($V$6,VykonyTC_tab!$9:$52,$L49,FALSE)</f>
        <v>3.7725000000000013</v>
      </c>
    </row>
    <row r="50" spans="3:17" x14ac:dyDescent="0.25">
      <c r="C50" s="2"/>
      <c r="D50" s="2"/>
      <c r="G50" s="38"/>
      <c r="H50" s="31"/>
      <c r="I50" s="31">
        <v>46</v>
      </c>
      <c r="L50" s="77">
        <v>44</v>
      </c>
      <c r="M50" s="77">
        <v>20</v>
      </c>
      <c r="N50" s="73">
        <f>HLOOKUP($R$6,VykonyTC_tab!$9:$52,L50,FALSE)*$N$2</f>
        <v>225.14999999999998</v>
      </c>
      <c r="O50" s="73">
        <f>HLOOKUP($S$6,VykonyTC_tab!$9:$52,L50,FALSE)</f>
        <v>5.15</v>
      </c>
      <c r="P50" s="73">
        <f>HLOOKUP($U$6,VykonyTC_tab!$9:$52,$L50,FALSE)*$N$2</f>
        <v>206.76</v>
      </c>
      <c r="Q50" s="73">
        <f>HLOOKUP($V$6,VykonyTC_tab!$9:$52,$L50,FALSE)</f>
        <v>3.85</v>
      </c>
    </row>
    <row r="51" spans="3:17" x14ac:dyDescent="0.25">
      <c r="C51" s="2"/>
      <c r="D51" s="2"/>
      <c r="G51" s="38"/>
      <c r="H51" s="31"/>
      <c r="I51" s="31">
        <v>47</v>
      </c>
    </row>
    <row r="52" spans="3:17" x14ac:dyDescent="0.25">
      <c r="G52" s="38"/>
      <c r="H52" s="31"/>
      <c r="I52" s="31">
        <v>48</v>
      </c>
    </row>
    <row r="53" spans="3:17" x14ac:dyDescent="0.25">
      <c r="C53" s="2"/>
      <c r="D53" s="2"/>
      <c r="G53" s="38"/>
      <c r="H53" s="31"/>
      <c r="I53" s="31">
        <v>49</v>
      </c>
    </row>
    <row r="54" spans="3:17" x14ac:dyDescent="0.25">
      <c r="C54" s="2"/>
      <c r="D54" s="2"/>
      <c r="G54" s="38"/>
      <c r="H54" s="31"/>
      <c r="I54" s="31">
        <v>50</v>
      </c>
    </row>
    <row r="55" spans="3:17" x14ac:dyDescent="0.25">
      <c r="C55" s="2"/>
      <c r="D55" s="2"/>
      <c r="G55" s="38"/>
      <c r="H55" s="31"/>
      <c r="I55" s="31">
        <v>51</v>
      </c>
    </row>
    <row r="56" spans="3:17" x14ac:dyDescent="0.25">
      <c r="C56" s="2"/>
      <c r="D56" s="2"/>
      <c r="G56" s="38"/>
      <c r="H56" s="31"/>
      <c r="I56" s="31">
        <v>52</v>
      </c>
    </row>
    <row r="57" spans="3:17" x14ac:dyDescent="0.25">
      <c r="C57" s="2"/>
      <c r="D57" s="2"/>
      <c r="G57" s="38"/>
      <c r="H57" s="31"/>
      <c r="I57" s="31">
        <v>53</v>
      </c>
    </row>
    <row r="58" spans="3:17" x14ac:dyDescent="0.25">
      <c r="G58" s="38"/>
      <c r="H58" s="31"/>
      <c r="I58" s="31">
        <v>54</v>
      </c>
    </row>
    <row r="59" spans="3:17" x14ac:dyDescent="0.25">
      <c r="C59" s="2"/>
      <c r="D59" s="2"/>
      <c r="G59" s="38"/>
      <c r="H59" s="31"/>
      <c r="I59" s="31">
        <v>55</v>
      </c>
    </row>
    <row r="60" spans="3:17" x14ac:dyDescent="0.25">
      <c r="C60" s="2"/>
      <c r="D60" s="2"/>
      <c r="G60" s="38"/>
      <c r="H60" s="31"/>
      <c r="I60" s="31">
        <v>56</v>
      </c>
    </row>
    <row r="61" spans="3:17" x14ac:dyDescent="0.25">
      <c r="C61" s="2"/>
      <c r="D61" s="2"/>
      <c r="G61" s="38"/>
      <c r="H61" s="31"/>
      <c r="I61" s="31">
        <v>57</v>
      </c>
    </row>
    <row r="62" spans="3:17" x14ac:dyDescent="0.25">
      <c r="C62" s="2"/>
      <c r="D62" s="2"/>
      <c r="G62" s="38"/>
      <c r="H62" s="31"/>
      <c r="I62" s="31">
        <v>58</v>
      </c>
    </row>
    <row r="63" spans="3:17" x14ac:dyDescent="0.25">
      <c r="C63" s="2"/>
      <c r="D63" s="2"/>
    </row>
    <row r="64" spans="3:17" x14ac:dyDescent="0.25">
      <c r="C64" s="2"/>
    </row>
    <row r="65" spans="3:3" x14ac:dyDescent="0.25">
      <c r="C65" s="2"/>
    </row>
    <row r="66" spans="3:3" x14ac:dyDescent="0.25">
      <c r="C66" s="2"/>
    </row>
    <row r="203" spans="3:6" x14ac:dyDescent="0.25">
      <c r="F203"/>
    </row>
    <row r="204" spans="3:6" x14ac:dyDescent="0.25">
      <c r="D204" s="2"/>
      <c r="F204" t="s">
        <v>511</v>
      </c>
    </row>
    <row r="205" spans="3:6" x14ac:dyDescent="0.25">
      <c r="C205" s="2"/>
      <c r="D205" s="64"/>
      <c r="F205" s="63">
        <v>0.06</v>
      </c>
    </row>
    <row r="206" spans="3:6" x14ac:dyDescent="0.25">
      <c r="C206" s="2"/>
      <c r="D206" s="64"/>
      <c r="F206"/>
    </row>
    <row r="207" spans="3:6" x14ac:dyDescent="0.25">
      <c r="C207" s="2"/>
      <c r="D207" s="64"/>
      <c r="F207"/>
    </row>
    <row r="208" spans="3:6" x14ac:dyDescent="0.25">
      <c r="C208" s="2"/>
      <c r="D208" s="64"/>
      <c r="F208"/>
    </row>
    <row r="209" spans="3:6" x14ac:dyDescent="0.25">
      <c r="C209" s="2"/>
      <c r="D209" s="64"/>
      <c r="F209"/>
    </row>
    <row r="210" spans="3:6" x14ac:dyDescent="0.25">
      <c r="D210" s="63"/>
      <c r="F210"/>
    </row>
    <row r="211" spans="3:6" x14ac:dyDescent="0.25">
      <c r="C211" s="2"/>
      <c r="D211" s="64"/>
      <c r="F211"/>
    </row>
    <row r="212" spans="3:6" x14ac:dyDescent="0.25">
      <c r="C212" s="2"/>
      <c r="D212" s="64"/>
      <c r="F212"/>
    </row>
    <row r="213" spans="3:6" x14ac:dyDescent="0.25">
      <c r="C213" s="2"/>
      <c r="D213" s="64"/>
      <c r="F213"/>
    </row>
    <row r="214" spans="3:6" x14ac:dyDescent="0.25">
      <c r="C214" s="2"/>
      <c r="D214" s="64"/>
      <c r="F214"/>
    </row>
    <row r="215" spans="3:6" x14ac:dyDescent="0.25">
      <c r="C215" s="2"/>
      <c r="D215" s="64"/>
      <c r="F215"/>
    </row>
    <row r="216" spans="3:6" x14ac:dyDescent="0.25">
      <c r="D216" s="63"/>
      <c r="F216"/>
    </row>
    <row r="217" spans="3:6" x14ac:dyDescent="0.25">
      <c r="C217" s="2"/>
      <c r="D217" s="64"/>
      <c r="F217"/>
    </row>
    <row r="218" spans="3:6" x14ac:dyDescent="0.25">
      <c r="C218" s="2"/>
      <c r="D218" s="64"/>
      <c r="F218"/>
    </row>
    <row r="219" spans="3:6" x14ac:dyDescent="0.25">
      <c r="C219" s="2"/>
      <c r="D219" s="64"/>
      <c r="F219"/>
    </row>
    <row r="220" spans="3:6" x14ac:dyDescent="0.25">
      <c r="C220" s="2"/>
      <c r="D220" s="64"/>
      <c r="F220"/>
    </row>
    <row r="221" spans="3:6" x14ac:dyDescent="0.25">
      <c r="C221" s="2"/>
      <c r="D221" s="64"/>
      <c r="F221"/>
    </row>
    <row r="222" spans="3:6" x14ac:dyDescent="0.25">
      <c r="F222"/>
    </row>
    <row r="223" spans="3:6" x14ac:dyDescent="0.25">
      <c r="F223"/>
    </row>
    <row r="224" spans="3:6" x14ac:dyDescent="0.25">
      <c r="F224" t="s">
        <v>511</v>
      </c>
    </row>
    <row r="225" spans="3:6" x14ac:dyDescent="0.25">
      <c r="C225" s="2"/>
      <c r="F225">
        <f>F205</f>
        <v>0.06</v>
      </c>
    </row>
    <row r="226" spans="3:6" x14ac:dyDescent="0.25">
      <c r="C226" s="2"/>
      <c r="D226" s="64"/>
      <c r="F226"/>
    </row>
    <row r="227" spans="3:6" x14ac:dyDescent="0.25">
      <c r="C227" s="2"/>
      <c r="D227" s="64"/>
      <c r="F227"/>
    </row>
    <row r="228" spans="3:6" x14ac:dyDescent="0.25">
      <c r="C228" s="2"/>
      <c r="D228" s="64"/>
      <c r="F228"/>
    </row>
    <row r="229" spans="3:6" x14ac:dyDescent="0.25">
      <c r="C229" s="2"/>
      <c r="D229" s="64"/>
      <c r="F229"/>
    </row>
    <row r="230" spans="3:6" x14ac:dyDescent="0.25">
      <c r="F230"/>
    </row>
    <row r="231" spans="3:6" x14ac:dyDescent="0.25">
      <c r="C231" s="2"/>
      <c r="F231"/>
    </row>
    <row r="232" spans="3:6" x14ac:dyDescent="0.25">
      <c r="C232" s="2"/>
      <c r="D232" s="64"/>
      <c r="F232"/>
    </row>
    <row r="233" spans="3:6" x14ac:dyDescent="0.25">
      <c r="C233" s="2"/>
      <c r="D233" s="64"/>
      <c r="F233"/>
    </row>
    <row r="234" spans="3:6" x14ac:dyDescent="0.25">
      <c r="C234" s="2"/>
      <c r="D234" s="64"/>
      <c r="F234"/>
    </row>
    <row r="235" spans="3:6" x14ac:dyDescent="0.25">
      <c r="C235" s="2"/>
      <c r="D235" s="64"/>
      <c r="F235"/>
    </row>
    <row r="236" spans="3:6" x14ac:dyDescent="0.25">
      <c r="F236"/>
    </row>
    <row r="237" spans="3:6" x14ac:dyDescent="0.25">
      <c r="C237" s="2"/>
      <c r="F237"/>
    </row>
    <row r="238" spans="3:6" x14ac:dyDescent="0.25">
      <c r="C238" s="2"/>
      <c r="D238" s="64"/>
      <c r="F238"/>
    </row>
    <row r="239" spans="3:6" x14ac:dyDescent="0.25">
      <c r="C239" s="2"/>
      <c r="D239" s="64"/>
      <c r="F239"/>
    </row>
    <row r="240" spans="3:6" x14ac:dyDescent="0.25">
      <c r="C240" s="2"/>
      <c r="D240" s="64"/>
      <c r="F240"/>
    </row>
    <row r="241" spans="3:6" x14ac:dyDescent="0.25">
      <c r="C241" s="2"/>
      <c r="D241" s="64"/>
      <c r="F241"/>
    </row>
    <row r="242" spans="3:6" x14ac:dyDescent="0.25">
      <c r="F242"/>
    </row>
    <row r="243" spans="3:6" x14ac:dyDescent="0.25">
      <c r="F243"/>
    </row>
    <row r="244" spans="3:6" x14ac:dyDescent="0.25">
      <c r="F244" t="s">
        <v>511</v>
      </c>
    </row>
    <row r="245" spans="3:6" x14ac:dyDescent="0.25">
      <c r="C245" s="2"/>
      <c r="F245">
        <f>F225</f>
        <v>0.06</v>
      </c>
    </row>
    <row r="246" spans="3:6" x14ac:dyDescent="0.25">
      <c r="C246" s="2"/>
      <c r="D246" s="64"/>
      <c r="F246"/>
    </row>
    <row r="247" spans="3:6" x14ac:dyDescent="0.25">
      <c r="C247" s="2"/>
      <c r="D247" s="64"/>
      <c r="F247"/>
    </row>
    <row r="248" spans="3:6" x14ac:dyDescent="0.25">
      <c r="C248" s="2"/>
      <c r="D248" s="64"/>
      <c r="F248"/>
    </row>
    <row r="249" spans="3:6" x14ac:dyDescent="0.25">
      <c r="C249" s="2"/>
      <c r="D249" s="64"/>
      <c r="F249"/>
    </row>
    <row r="250" spans="3:6" x14ac:dyDescent="0.25">
      <c r="F250"/>
    </row>
    <row r="251" spans="3:6" x14ac:dyDescent="0.25">
      <c r="C251" s="2"/>
      <c r="D251" s="63"/>
      <c r="F251"/>
    </row>
    <row r="252" spans="3:6" x14ac:dyDescent="0.25">
      <c r="C252" s="2"/>
      <c r="D252" s="64"/>
      <c r="F252"/>
    </row>
    <row r="253" spans="3:6" x14ac:dyDescent="0.25">
      <c r="C253" s="2"/>
      <c r="D253" s="64"/>
      <c r="F253"/>
    </row>
    <row r="254" spans="3:6" x14ac:dyDescent="0.25">
      <c r="C254" s="2"/>
      <c r="D254" s="64"/>
      <c r="F254"/>
    </row>
    <row r="255" spans="3:6" x14ac:dyDescent="0.25">
      <c r="C255" s="2"/>
      <c r="D255" s="64"/>
      <c r="F255"/>
    </row>
    <row r="256" spans="3:6" x14ac:dyDescent="0.25">
      <c r="F256"/>
    </row>
    <row r="257" spans="3:6" x14ac:dyDescent="0.25">
      <c r="C257" s="2"/>
      <c r="F257"/>
    </row>
    <row r="258" spans="3:6" x14ac:dyDescent="0.25">
      <c r="C258" s="2"/>
      <c r="D258" s="64"/>
      <c r="F258"/>
    </row>
    <row r="259" spans="3:6" x14ac:dyDescent="0.25">
      <c r="C259" s="2"/>
      <c r="D259" s="64"/>
      <c r="F259"/>
    </row>
    <row r="260" spans="3:6" x14ac:dyDescent="0.25">
      <c r="C260" s="2"/>
      <c r="D260" s="64"/>
      <c r="F260"/>
    </row>
    <row r="261" spans="3:6" x14ac:dyDescent="0.25">
      <c r="C261" s="2"/>
      <c r="D261" s="64"/>
      <c r="F261"/>
    </row>
    <row r="262" spans="3:6" x14ac:dyDescent="0.25">
      <c r="F262"/>
    </row>
    <row r="263" spans="3:6" x14ac:dyDescent="0.25">
      <c r="F263" t="s">
        <v>511</v>
      </c>
    </row>
    <row r="264" spans="3:6" x14ac:dyDescent="0.25">
      <c r="F264">
        <f>F245</f>
        <v>0.06</v>
      </c>
    </row>
    <row r="265" spans="3:6" x14ac:dyDescent="0.25">
      <c r="C265" s="2"/>
      <c r="F265"/>
    </row>
    <row r="266" spans="3:6" x14ac:dyDescent="0.25">
      <c r="C266" s="2"/>
      <c r="D266" s="64"/>
      <c r="F266"/>
    </row>
    <row r="267" spans="3:6" x14ac:dyDescent="0.25">
      <c r="C267" s="2"/>
      <c r="D267" s="64"/>
      <c r="F267"/>
    </row>
    <row r="268" spans="3:6" x14ac:dyDescent="0.25">
      <c r="C268" s="2"/>
      <c r="D268" s="64"/>
      <c r="F268"/>
    </row>
    <row r="269" spans="3:6" x14ac:dyDescent="0.25">
      <c r="C269" s="2"/>
      <c r="D269" s="64"/>
      <c r="F269"/>
    </row>
    <row r="270" spans="3:6" x14ac:dyDescent="0.25">
      <c r="F270"/>
    </row>
    <row r="271" spans="3:6" x14ac:dyDescent="0.25">
      <c r="C271" s="2"/>
      <c r="D271" s="63"/>
      <c r="F271"/>
    </row>
    <row r="272" spans="3:6" x14ac:dyDescent="0.25">
      <c r="C272" s="2"/>
      <c r="D272" s="64"/>
      <c r="F272"/>
    </row>
    <row r="273" spans="3:6" x14ac:dyDescent="0.25">
      <c r="C273" s="2"/>
      <c r="D273" s="64"/>
      <c r="F273"/>
    </row>
    <row r="274" spans="3:6" x14ac:dyDescent="0.25">
      <c r="C274" s="2"/>
      <c r="D274" s="64"/>
      <c r="F274"/>
    </row>
    <row r="275" spans="3:6" x14ac:dyDescent="0.25">
      <c r="C275" s="2"/>
      <c r="D275" s="64"/>
      <c r="F275"/>
    </row>
    <row r="276" spans="3:6" x14ac:dyDescent="0.25">
      <c r="F276"/>
    </row>
    <row r="277" spans="3:6" x14ac:dyDescent="0.25">
      <c r="C277" s="2"/>
      <c r="F277"/>
    </row>
    <row r="278" spans="3:6" x14ac:dyDescent="0.25">
      <c r="C278" s="2"/>
      <c r="D278" s="64"/>
      <c r="F278"/>
    </row>
    <row r="279" spans="3:6" x14ac:dyDescent="0.25">
      <c r="C279" s="2"/>
      <c r="D279" s="64"/>
      <c r="F279"/>
    </row>
    <row r="280" spans="3:6" x14ac:dyDescent="0.25">
      <c r="C280" s="2"/>
      <c r="D280" s="64"/>
      <c r="F280"/>
    </row>
    <row r="281" spans="3:6" x14ac:dyDescent="0.25">
      <c r="C281" s="2"/>
      <c r="D281" s="64"/>
      <c r="F281"/>
    </row>
    <row r="282" spans="3:6" x14ac:dyDescent="0.25">
      <c r="F282"/>
    </row>
    <row r="283" spans="3:6" x14ac:dyDescent="0.25">
      <c r="F283" t="s">
        <v>511</v>
      </c>
    </row>
    <row r="284" spans="3:6" x14ac:dyDescent="0.25">
      <c r="F284">
        <f>F264</f>
        <v>0.06</v>
      </c>
    </row>
    <row r="285" spans="3:6" x14ac:dyDescent="0.25">
      <c r="C285" s="2"/>
      <c r="F285"/>
    </row>
    <row r="286" spans="3:6" x14ac:dyDescent="0.25">
      <c r="C286" s="2"/>
      <c r="D286" s="64"/>
      <c r="F286"/>
    </row>
    <row r="287" spans="3:6" x14ac:dyDescent="0.25">
      <c r="C287" s="2"/>
      <c r="D287" s="64"/>
      <c r="F287"/>
    </row>
    <row r="288" spans="3:6" x14ac:dyDescent="0.25">
      <c r="C288" s="2"/>
      <c r="D288" s="64"/>
      <c r="F288"/>
    </row>
    <row r="289" spans="3:6" x14ac:dyDescent="0.25">
      <c r="C289" s="2"/>
      <c r="D289" s="64"/>
      <c r="F289"/>
    </row>
    <row r="290" spans="3:6" x14ac:dyDescent="0.25">
      <c r="F290"/>
    </row>
    <row r="291" spans="3:6" x14ac:dyDescent="0.25">
      <c r="C291" s="2"/>
      <c r="F291"/>
    </row>
    <row r="292" spans="3:6" x14ac:dyDescent="0.25">
      <c r="C292" s="2"/>
      <c r="D292" s="64"/>
      <c r="F292"/>
    </row>
    <row r="293" spans="3:6" x14ac:dyDescent="0.25">
      <c r="C293" s="2"/>
      <c r="D293" s="64"/>
      <c r="F293"/>
    </row>
    <row r="294" spans="3:6" x14ac:dyDescent="0.25">
      <c r="C294" s="2"/>
      <c r="D294" s="64"/>
      <c r="F294"/>
    </row>
    <row r="295" spans="3:6" x14ac:dyDescent="0.25">
      <c r="C295" s="2"/>
      <c r="D295" s="64"/>
      <c r="F295"/>
    </row>
    <row r="296" spans="3:6" x14ac:dyDescent="0.25">
      <c r="F296"/>
    </row>
    <row r="297" spans="3:6" x14ac:dyDescent="0.25">
      <c r="C297" s="2"/>
      <c r="F297"/>
    </row>
    <row r="298" spans="3:6" x14ac:dyDescent="0.25">
      <c r="C298" s="2"/>
      <c r="D298" s="64"/>
      <c r="F298"/>
    </row>
    <row r="299" spans="3:6" x14ac:dyDescent="0.25">
      <c r="C299" s="2"/>
      <c r="D299" s="64"/>
      <c r="F299"/>
    </row>
    <row r="300" spans="3:6" x14ac:dyDescent="0.25">
      <c r="C300" s="2"/>
      <c r="D300" s="64"/>
      <c r="F300"/>
    </row>
    <row r="301" spans="3:6" x14ac:dyDescent="0.25">
      <c r="C301" s="2"/>
      <c r="D301" s="64"/>
      <c r="F301"/>
    </row>
    <row r="302" spans="3:6" x14ac:dyDescent="0.25">
      <c r="F302"/>
    </row>
    <row r="303" spans="3:6" x14ac:dyDescent="0.25">
      <c r="F303" t="s">
        <v>511</v>
      </c>
    </row>
    <row r="304" spans="3:6" x14ac:dyDescent="0.25">
      <c r="F304">
        <f>F284</f>
        <v>0.06</v>
      </c>
    </row>
    <row r="305" spans="3:6" x14ac:dyDescent="0.25">
      <c r="C305" s="2"/>
      <c r="F305"/>
    </row>
    <row r="306" spans="3:6" x14ac:dyDescent="0.25">
      <c r="C306" s="2"/>
      <c r="D306" s="64"/>
      <c r="F306"/>
    </row>
    <row r="307" spans="3:6" x14ac:dyDescent="0.25">
      <c r="C307" s="2"/>
      <c r="D307" s="64"/>
      <c r="F307"/>
    </row>
    <row r="308" spans="3:6" x14ac:dyDescent="0.25">
      <c r="C308" s="2"/>
      <c r="D308" s="64"/>
      <c r="F308"/>
    </row>
    <row r="309" spans="3:6" x14ac:dyDescent="0.25">
      <c r="C309" s="2"/>
      <c r="D309" s="64"/>
      <c r="F309"/>
    </row>
    <row r="310" spans="3:6" x14ac:dyDescent="0.25">
      <c r="F310"/>
    </row>
    <row r="311" spans="3:6" x14ac:dyDescent="0.25">
      <c r="C311" s="2"/>
      <c r="F311"/>
    </row>
    <row r="312" spans="3:6" x14ac:dyDescent="0.25">
      <c r="C312" s="2"/>
      <c r="D312" s="64"/>
      <c r="F312"/>
    </row>
    <row r="313" spans="3:6" x14ac:dyDescent="0.25">
      <c r="C313" s="2"/>
      <c r="D313" s="64"/>
      <c r="F313"/>
    </row>
    <row r="314" spans="3:6" x14ac:dyDescent="0.25">
      <c r="C314" s="2"/>
      <c r="D314" s="64"/>
      <c r="F314"/>
    </row>
    <row r="315" spans="3:6" x14ac:dyDescent="0.25">
      <c r="C315" s="2"/>
      <c r="D315" s="64"/>
      <c r="F315"/>
    </row>
    <row r="316" spans="3:6" x14ac:dyDescent="0.25">
      <c r="F316"/>
    </row>
    <row r="317" spans="3:6" x14ac:dyDescent="0.25">
      <c r="C317" s="2"/>
      <c r="F317"/>
    </row>
    <row r="318" spans="3:6" x14ac:dyDescent="0.25">
      <c r="C318" s="2"/>
      <c r="D318" s="64"/>
      <c r="F318"/>
    </row>
    <row r="319" spans="3:6" x14ac:dyDescent="0.25">
      <c r="C319" s="2"/>
      <c r="D319" s="64"/>
      <c r="F319"/>
    </row>
    <row r="320" spans="3:6" x14ac:dyDescent="0.25">
      <c r="C320" s="2"/>
      <c r="D320" s="64"/>
      <c r="F320"/>
    </row>
    <row r="321" spans="3:6" x14ac:dyDescent="0.25">
      <c r="C321" s="2"/>
      <c r="D321" s="64"/>
      <c r="F321"/>
    </row>
    <row r="322" spans="3:6" x14ac:dyDescent="0.25">
      <c r="F322"/>
    </row>
    <row r="323" spans="3:6" x14ac:dyDescent="0.25">
      <c r="F323" t="s">
        <v>511</v>
      </c>
    </row>
    <row r="324" spans="3:6" x14ac:dyDescent="0.25">
      <c r="F324">
        <f>F304</f>
        <v>0.06</v>
      </c>
    </row>
    <row r="325" spans="3:6" x14ac:dyDescent="0.25">
      <c r="C325" s="2"/>
      <c r="F325"/>
    </row>
    <row r="326" spans="3:6" x14ac:dyDescent="0.25">
      <c r="C326" s="2"/>
      <c r="D326" s="64"/>
      <c r="F326"/>
    </row>
    <row r="327" spans="3:6" x14ac:dyDescent="0.25">
      <c r="C327" s="2"/>
      <c r="D327" s="64"/>
      <c r="F327"/>
    </row>
    <row r="328" spans="3:6" x14ac:dyDescent="0.25">
      <c r="C328" s="2"/>
      <c r="D328" s="64"/>
      <c r="F328"/>
    </row>
    <row r="329" spans="3:6" x14ac:dyDescent="0.25">
      <c r="C329" s="2"/>
      <c r="D329" s="64"/>
      <c r="F329"/>
    </row>
    <row r="330" spans="3:6" x14ac:dyDescent="0.25">
      <c r="F330"/>
    </row>
    <row r="331" spans="3:6" x14ac:dyDescent="0.25">
      <c r="C331" s="2"/>
      <c r="F331"/>
    </row>
    <row r="332" spans="3:6" x14ac:dyDescent="0.25">
      <c r="C332" s="2"/>
      <c r="D332" s="64"/>
      <c r="F332"/>
    </row>
    <row r="333" spans="3:6" x14ac:dyDescent="0.25">
      <c r="C333" s="2"/>
      <c r="D333" s="64"/>
      <c r="F333"/>
    </row>
    <row r="334" spans="3:6" x14ac:dyDescent="0.25">
      <c r="C334" s="2"/>
      <c r="D334" s="64"/>
      <c r="F334"/>
    </row>
    <row r="335" spans="3:6" x14ac:dyDescent="0.25">
      <c r="C335" s="2"/>
      <c r="D335" s="64"/>
      <c r="F335"/>
    </row>
    <row r="336" spans="3:6" x14ac:dyDescent="0.25">
      <c r="F336"/>
    </row>
    <row r="337" spans="3:6" x14ac:dyDescent="0.25">
      <c r="C337" s="2"/>
      <c r="F337"/>
    </row>
    <row r="338" spans="3:6" x14ac:dyDescent="0.25">
      <c r="C338" s="2"/>
      <c r="D338" s="64"/>
      <c r="F338"/>
    </row>
    <row r="339" spans="3:6" x14ac:dyDescent="0.25">
      <c r="C339" s="2"/>
      <c r="D339" s="64"/>
      <c r="F339"/>
    </row>
    <row r="340" spans="3:6" x14ac:dyDescent="0.25">
      <c r="C340" s="2"/>
      <c r="D340" s="64"/>
      <c r="F340"/>
    </row>
    <row r="341" spans="3:6" x14ac:dyDescent="0.25">
      <c r="C341" s="2"/>
      <c r="D341" s="64"/>
      <c r="F341"/>
    </row>
    <row r="342" spans="3:6" x14ac:dyDescent="0.25">
      <c r="F342"/>
    </row>
    <row r="343" spans="3:6" x14ac:dyDescent="0.25">
      <c r="F343" t="s">
        <v>511</v>
      </c>
    </row>
    <row r="344" spans="3:6" x14ac:dyDescent="0.25">
      <c r="F344">
        <f>F324</f>
        <v>0.06</v>
      </c>
    </row>
    <row r="345" spans="3:6" x14ac:dyDescent="0.25">
      <c r="C345" s="2"/>
      <c r="F345"/>
    </row>
    <row r="346" spans="3:6" x14ac:dyDescent="0.25">
      <c r="C346" s="2"/>
      <c r="D346" s="64"/>
      <c r="F346"/>
    </row>
    <row r="347" spans="3:6" x14ac:dyDescent="0.25">
      <c r="C347" s="2"/>
      <c r="D347" s="64"/>
      <c r="F347"/>
    </row>
    <row r="348" spans="3:6" x14ac:dyDescent="0.25">
      <c r="C348" s="2"/>
      <c r="D348" s="64"/>
      <c r="F348"/>
    </row>
    <row r="349" spans="3:6" x14ac:dyDescent="0.25">
      <c r="C349" s="2"/>
      <c r="D349" s="64"/>
      <c r="F349"/>
    </row>
    <row r="350" spans="3:6" x14ac:dyDescent="0.25">
      <c r="F350"/>
    </row>
    <row r="351" spans="3:6" x14ac:dyDescent="0.25">
      <c r="C351" s="2"/>
      <c r="D351" s="63"/>
      <c r="F351"/>
    </row>
    <row r="352" spans="3:6" x14ac:dyDescent="0.25">
      <c r="C352" s="2"/>
      <c r="D352" s="64"/>
      <c r="F352"/>
    </row>
    <row r="353" spans="3:6" x14ac:dyDescent="0.25">
      <c r="C353" s="2"/>
      <c r="D353" s="64"/>
      <c r="F353"/>
    </row>
    <row r="354" spans="3:6" x14ac:dyDescent="0.25">
      <c r="C354" s="2"/>
      <c r="D354" s="64"/>
      <c r="F354"/>
    </row>
    <row r="355" spans="3:6" x14ac:dyDescent="0.25">
      <c r="C355" s="2"/>
      <c r="D355" s="64"/>
      <c r="F355"/>
    </row>
    <row r="356" spans="3:6" x14ac:dyDescent="0.25">
      <c r="D356" s="63"/>
      <c r="F356"/>
    </row>
    <row r="357" spans="3:6" x14ac:dyDescent="0.25">
      <c r="C357" s="2"/>
      <c r="D357" s="63"/>
      <c r="F357"/>
    </row>
    <row r="358" spans="3:6" x14ac:dyDescent="0.25">
      <c r="C358" s="2"/>
      <c r="D358" s="64"/>
      <c r="F358"/>
    </row>
    <row r="359" spans="3:6" x14ac:dyDescent="0.25">
      <c r="C359" s="2"/>
      <c r="D359" s="64"/>
      <c r="F359"/>
    </row>
    <row r="360" spans="3:6" x14ac:dyDescent="0.25">
      <c r="C360" s="2"/>
      <c r="D360" s="64"/>
      <c r="F360"/>
    </row>
    <row r="361" spans="3:6" x14ac:dyDescent="0.25">
      <c r="C361" s="2"/>
      <c r="D361" s="64"/>
      <c r="F361"/>
    </row>
    <row r="362" spans="3:6" x14ac:dyDescent="0.25">
      <c r="F362"/>
    </row>
    <row r="363" spans="3:6" x14ac:dyDescent="0.25">
      <c r="F363"/>
    </row>
    <row r="364" spans="3:6" x14ac:dyDescent="0.25">
      <c r="F364"/>
    </row>
    <row r="365" spans="3:6" x14ac:dyDescent="0.25">
      <c r="C365" s="2"/>
      <c r="F365"/>
    </row>
    <row r="366" spans="3:6" x14ac:dyDescent="0.25">
      <c r="C366" s="2"/>
      <c r="F366"/>
    </row>
    <row r="367" spans="3:6" x14ac:dyDescent="0.25">
      <c r="C367" s="2"/>
      <c r="F367"/>
    </row>
    <row r="368" spans="3:6" x14ac:dyDescent="0.25">
      <c r="C368" s="2"/>
      <c r="F368"/>
    </row>
    <row r="369" spans="3:6" x14ac:dyDescent="0.25">
      <c r="C369" s="2"/>
      <c r="F369"/>
    </row>
    <row r="370" spans="3:6" x14ac:dyDescent="0.25">
      <c r="C370" s="2"/>
      <c r="F370"/>
    </row>
    <row r="371" spans="3:6" x14ac:dyDescent="0.25">
      <c r="C371" s="2"/>
      <c r="F371"/>
    </row>
    <row r="372" spans="3:6" x14ac:dyDescent="0.25">
      <c r="C372" s="2"/>
      <c r="F372"/>
    </row>
    <row r="373" spans="3:6" x14ac:dyDescent="0.25">
      <c r="C373" s="2"/>
      <c r="F373"/>
    </row>
    <row r="374" spans="3:6" x14ac:dyDescent="0.25">
      <c r="C374" s="2"/>
      <c r="F374"/>
    </row>
    <row r="375" spans="3:6" x14ac:dyDescent="0.25">
      <c r="C375" s="2"/>
      <c r="F375"/>
    </row>
    <row r="376" spans="3:6" x14ac:dyDescent="0.25">
      <c r="C376" s="2"/>
      <c r="F376"/>
    </row>
    <row r="377" spans="3:6" x14ac:dyDescent="0.25">
      <c r="C377" s="2"/>
      <c r="F377"/>
    </row>
    <row r="378" spans="3:6" x14ac:dyDescent="0.25">
      <c r="C378" s="2"/>
      <c r="F378"/>
    </row>
    <row r="379" spans="3:6" x14ac:dyDescent="0.25">
      <c r="C379" s="2"/>
      <c r="F379"/>
    </row>
    <row r="380" spans="3:6" x14ac:dyDescent="0.25">
      <c r="C380" s="2"/>
      <c r="F380"/>
    </row>
    <row r="381" spans="3:6" x14ac:dyDescent="0.25">
      <c r="C381" s="2"/>
      <c r="F381"/>
    </row>
    <row r="382" spans="3:6" x14ac:dyDescent="0.25">
      <c r="F382"/>
    </row>
    <row r="383" spans="3:6" x14ac:dyDescent="0.25">
      <c r="F383"/>
    </row>
    <row r="384" spans="3:6" x14ac:dyDescent="0.25">
      <c r="F384" t="s">
        <v>511</v>
      </c>
    </row>
    <row r="385" spans="4:6" x14ac:dyDescent="0.25">
      <c r="F385">
        <v>0.06</v>
      </c>
    </row>
    <row r="386" spans="4:6" x14ac:dyDescent="0.25">
      <c r="F386"/>
    </row>
    <row r="387" spans="4:6" x14ac:dyDescent="0.25">
      <c r="D387" s="64"/>
      <c r="F387"/>
    </row>
    <row r="388" spans="4:6" x14ac:dyDescent="0.25">
      <c r="D388" s="64"/>
      <c r="F388"/>
    </row>
    <row r="389" spans="4:6" x14ac:dyDescent="0.25">
      <c r="D389" s="64"/>
      <c r="F389"/>
    </row>
    <row r="390" spans="4:6" x14ac:dyDescent="0.25">
      <c r="D390" s="64"/>
      <c r="F390"/>
    </row>
    <row r="391" spans="4:6" x14ac:dyDescent="0.25">
      <c r="F391"/>
    </row>
    <row r="392" spans="4:6" x14ac:dyDescent="0.25">
      <c r="D392" s="3"/>
      <c r="F392"/>
    </row>
    <row r="393" spans="4:6" x14ac:dyDescent="0.25">
      <c r="D393" s="64"/>
      <c r="F393"/>
    </row>
    <row r="394" spans="4:6" x14ac:dyDescent="0.25">
      <c r="D394" s="64"/>
      <c r="F394"/>
    </row>
    <row r="395" spans="4:6" x14ac:dyDescent="0.25">
      <c r="D395" s="64"/>
      <c r="F395"/>
    </row>
    <row r="396" spans="4:6" x14ac:dyDescent="0.25">
      <c r="D396" s="64"/>
      <c r="F396"/>
    </row>
    <row r="397" spans="4:6" x14ac:dyDescent="0.25">
      <c r="F397"/>
    </row>
    <row r="398" spans="4:6" x14ac:dyDescent="0.25">
      <c r="F398"/>
    </row>
    <row r="399" spans="4:6" x14ac:dyDescent="0.25">
      <c r="D399" s="64"/>
      <c r="F399"/>
    </row>
    <row r="400" spans="4:6" x14ac:dyDescent="0.25">
      <c r="D400" s="64"/>
      <c r="F400"/>
    </row>
    <row r="401" spans="4:6" x14ac:dyDescent="0.25">
      <c r="D401" s="64"/>
      <c r="F401"/>
    </row>
    <row r="402" spans="4:6" x14ac:dyDescent="0.25">
      <c r="D402" s="64"/>
      <c r="F402"/>
    </row>
    <row r="403" spans="4:6" x14ac:dyDescent="0.25">
      <c r="F403"/>
    </row>
    <row r="404" spans="4:6" x14ac:dyDescent="0.25">
      <c r="F404"/>
    </row>
    <row r="405" spans="4:6" x14ac:dyDescent="0.25">
      <c r="F405"/>
    </row>
    <row r="406" spans="4:6" x14ac:dyDescent="0.25">
      <c r="D406" s="64"/>
      <c r="F406"/>
    </row>
    <row r="407" spans="4:6" x14ac:dyDescent="0.25">
      <c r="D407" s="64"/>
      <c r="F407"/>
    </row>
    <row r="408" spans="4:6" x14ac:dyDescent="0.25">
      <c r="D408" s="64"/>
      <c r="F408"/>
    </row>
    <row r="409" spans="4:6" x14ac:dyDescent="0.25">
      <c r="D409" s="64"/>
      <c r="F409"/>
    </row>
    <row r="410" spans="4:6" x14ac:dyDescent="0.25">
      <c r="F410"/>
    </row>
    <row r="411" spans="4:6" x14ac:dyDescent="0.25">
      <c r="F411"/>
    </row>
    <row r="412" spans="4:6" x14ac:dyDescent="0.25">
      <c r="D412" s="64"/>
      <c r="F412"/>
    </row>
    <row r="413" spans="4:6" x14ac:dyDescent="0.25">
      <c r="D413" s="64"/>
      <c r="F413"/>
    </row>
    <row r="414" spans="4:6" x14ac:dyDescent="0.25">
      <c r="D414" s="64"/>
      <c r="F414"/>
    </row>
    <row r="415" spans="4:6" x14ac:dyDescent="0.25">
      <c r="D415" s="64"/>
      <c r="F415"/>
    </row>
    <row r="416" spans="4:6" x14ac:dyDescent="0.25">
      <c r="F416"/>
    </row>
    <row r="417" spans="4:6" x14ac:dyDescent="0.25">
      <c r="F417"/>
    </row>
    <row r="418" spans="4:6" x14ac:dyDescent="0.25">
      <c r="D418" s="64"/>
      <c r="F418"/>
    </row>
    <row r="419" spans="4:6" x14ac:dyDescent="0.25">
      <c r="D419" s="64"/>
      <c r="F419"/>
    </row>
    <row r="420" spans="4:6" x14ac:dyDescent="0.25">
      <c r="D420" s="64"/>
      <c r="F420"/>
    </row>
    <row r="421" spans="4:6" x14ac:dyDescent="0.25">
      <c r="D421" s="64"/>
      <c r="F421"/>
    </row>
    <row r="422" spans="4:6" x14ac:dyDescent="0.25">
      <c r="F422"/>
    </row>
    <row r="423" spans="4:6" x14ac:dyDescent="0.25">
      <c r="F423"/>
    </row>
    <row r="424" spans="4:6" x14ac:dyDescent="0.25">
      <c r="F424"/>
    </row>
    <row r="425" spans="4:6" x14ac:dyDescent="0.25">
      <c r="D425" s="64"/>
      <c r="F425"/>
    </row>
    <row r="426" spans="4:6" x14ac:dyDescent="0.25">
      <c r="D426" s="64"/>
      <c r="F426"/>
    </row>
    <row r="427" spans="4:6" x14ac:dyDescent="0.25">
      <c r="D427" s="64"/>
      <c r="F427"/>
    </row>
    <row r="428" spans="4:6" x14ac:dyDescent="0.25">
      <c r="D428" s="64"/>
      <c r="F428"/>
    </row>
    <row r="429" spans="4:6" x14ac:dyDescent="0.25">
      <c r="F429"/>
    </row>
    <row r="430" spans="4:6" x14ac:dyDescent="0.25">
      <c r="D430" s="3"/>
      <c r="F430"/>
    </row>
    <row r="431" spans="4:6" x14ac:dyDescent="0.25">
      <c r="D431" s="64"/>
      <c r="F431"/>
    </row>
    <row r="432" spans="4:6" x14ac:dyDescent="0.25">
      <c r="D432" s="64"/>
      <c r="F432"/>
    </row>
    <row r="433" spans="4:6" x14ac:dyDescent="0.25">
      <c r="D433" s="64"/>
      <c r="F433"/>
    </row>
    <row r="434" spans="4:6" x14ac:dyDescent="0.25">
      <c r="D434" s="64"/>
      <c r="F434"/>
    </row>
    <row r="435" spans="4:6" x14ac:dyDescent="0.25">
      <c r="F435"/>
    </row>
    <row r="436" spans="4:6" x14ac:dyDescent="0.25">
      <c r="F436"/>
    </row>
    <row r="437" spans="4:6" x14ac:dyDescent="0.25">
      <c r="D437" s="64"/>
      <c r="F437"/>
    </row>
    <row r="438" spans="4:6" x14ac:dyDescent="0.25">
      <c r="D438" s="64"/>
      <c r="F438"/>
    </row>
    <row r="439" spans="4:6" x14ac:dyDescent="0.25">
      <c r="D439" s="64"/>
      <c r="F439"/>
    </row>
    <row r="440" spans="4:6" x14ac:dyDescent="0.25">
      <c r="D440" s="64"/>
      <c r="F440"/>
    </row>
  </sheetData>
  <phoneticPr fontId="14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BD95-EF4B-4D17-B0A1-792F3B174A0F}">
  <dimension ref="A1:HH293"/>
  <sheetViews>
    <sheetView topLeftCell="A4" zoomScale="70" zoomScaleNormal="70" workbookViewId="0">
      <pane xSplit="1" topLeftCell="BR1" activePane="topRight" state="frozen"/>
      <selection pane="topRight" activeCell="BY4" sqref="BY1:BY1048576"/>
    </sheetView>
  </sheetViews>
  <sheetFormatPr defaultColWidth="9.140625" defaultRowHeight="15" x14ac:dyDescent="0.25"/>
  <cols>
    <col min="1" max="1" width="16.28515625" style="69" customWidth="1"/>
    <col min="2" max="31" width="9.140625" style="46"/>
    <col min="32" max="32" width="11.85546875" style="72" customWidth="1"/>
    <col min="33" max="49" width="9.140625" style="72"/>
    <col min="50" max="53" width="10.140625" style="69" bestFit="1" customWidth="1"/>
    <col min="54" max="57" width="10.85546875" style="69" bestFit="1" customWidth="1"/>
    <col min="58" max="61" width="9.85546875" style="46" bestFit="1" customWidth="1"/>
    <col min="62" max="65" width="10.85546875" style="46" bestFit="1" customWidth="1"/>
    <col min="66" max="69" width="9.85546875" style="46" bestFit="1" customWidth="1"/>
    <col min="70" max="73" width="10.85546875" style="46" bestFit="1" customWidth="1"/>
    <col min="74" max="121" width="9.140625" style="46"/>
    <col min="122" max="131" width="9.85546875" style="46" bestFit="1" customWidth="1"/>
    <col min="132" max="132" width="10.7109375" style="46" bestFit="1" customWidth="1"/>
    <col min="133" max="133" width="9.85546875" style="46" bestFit="1" customWidth="1"/>
    <col min="134" max="139" width="10.85546875" style="46" bestFit="1" customWidth="1"/>
    <col min="140" max="16384" width="9.140625" style="46"/>
  </cols>
  <sheetData>
    <row r="1" spans="1:216" x14ac:dyDescent="0.25">
      <c r="A1" s="70" t="s">
        <v>420</v>
      </c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</row>
    <row r="2" spans="1:216" x14ac:dyDescent="0.25">
      <c r="A2" s="70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CE2" s="69"/>
      <c r="CF2" s="69"/>
      <c r="CG2" s="69"/>
      <c r="CH2" s="69"/>
      <c r="CQ2" s="69"/>
      <c r="CR2" s="69"/>
    </row>
    <row r="3" spans="1:216" x14ac:dyDescent="0.25">
      <c r="A3" s="70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CE3" s="71"/>
      <c r="CF3" s="71"/>
      <c r="CG3" s="71"/>
      <c r="CH3" s="71"/>
      <c r="CQ3" s="71"/>
      <c r="CR3" s="71"/>
      <c r="DS3" s="72"/>
    </row>
    <row r="4" spans="1:216" x14ac:dyDescent="0.25">
      <c r="A4" s="70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CE4" s="69"/>
      <c r="CF4" s="69"/>
      <c r="CG4" s="69"/>
      <c r="CH4" s="69"/>
      <c r="CI4" s="69"/>
      <c r="CJ4" s="69"/>
      <c r="CK4" s="69"/>
      <c r="CL4" s="69"/>
      <c r="CQ4" s="69"/>
      <c r="CR4" s="69"/>
      <c r="DS4" s="72"/>
    </row>
    <row r="5" spans="1:216" x14ac:dyDescent="0.25"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5"/>
      <c r="AQ5" s="95"/>
      <c r="AR5" s="95"/>
      <c r="AS5" s="95"/>
      <c r="AT5" s="95"/>
      <c r="AU5" s="95"/>
      <c r="AV5" s="95"/>
      <c r="AW5" s="95"/>
      <c r="AX5" s="6"/>
      <c r="AY5" s="6"/>
      <c r="AZ5" s="6"/>
      <c r="BA5" s="6"/>
      <c r="BB5" s="6"/>
      <c r="BC5" s="6"/>
      <c r="BD5" s="6"/>
      <c r="BE5" s="6"/>
      <c r="BF5"/>
      <c r="BG5"/>
      <c r="BH5"/>
      <c r="BI5"/>
      <c r="BJ5"/>
      <c r="BK5"/>
    </row>
    <row r="6" spans="1:216" s="87" customFormat="1" x14ac:dyDescent="0.25">
      <c r="A6" s="87" t="s">
        <v>421</v>
      </c>
      <c r="B6" s="96" t="s">
        <v>148</v>
      </c>
      <c r="C6" s="96" t="s">
        <v>148</v>
      </c>
      <c r="D6" s="96" t="s">
        <v>373</v>
      </c>
      <c r="E6" s="96" t="s">
        <v>373</v>
      </c>
      <c r="F6" s="96" t="s">
        <v>374</v>
      </c>
      <c r="G6" s="96" t="s">
        <v>374</v>
      </c>
      <c r="H6" s="96" t="s">
        <v>151</v>
      </c>
      <c r="I6" s="96" t="s">
        <v>151</v>
      </c>
      <c r="J6" s="96" t="s">
        <v>152</v>
      </c>
      <c r="K6" s="96" t="s">
        <v>152</v>
      </c>
      <c r="L6" s="96" t="s">
        <v>148</v>
      </c>
      <c r="M6" s="96" t="s">
        <v>148</v>
      </c>
      <c r="N6" s="96" t="s">
        <v>373</v>
      </c>
      <c r="O6" s="96" t="s">
        <v>373</v>
      </c>
      <c r="P6" s="96" t="s">
        <v>374</v>
      </c>
      <c r="Q6" s="96" t="s">
        <v>374</v>
      </c>
      <c r="R6" s="96" t="s">
        <v>151</v>
      </c>
      <c r="S6" s="96" t="s">
        <v>151</v>
      </c>
      <c r="T6" s="96" t="s">
        <v>152</v>
      </c>
      <c r="U6" s="96" t="s">
        <v>152</v>
      </c>
      <c r="V6" s="96" t="s">
        <v>148</v>
      </c>
      <c r="W6" s="96" t="s">
        <v>148</v>
      </c>
      <c r="X6" s="96" t="s">
        <v>373</v>
      </c>
      <c r="Y6" s="96" t="s">
        <v>373</v>
      </c>
      <c r="Z6" s="96" t="s">
        <v>374</v>
      </c>
      <c r="AA6" s="96" t="s">
        <v>374</v>
      </c>
      <c r="AB6" s="96" t="s">
        <v>151</v>
      </c>
      <c r="AC6" s="96" t="s">
        <v>151</v>
      </c>
      <c r="AD6" s="96" t="s">
        <v>152</v>
      </c>
      <c r="AE6" s="96" t="s">
        <v>152</v>
      </c>
      <c r="AF6" s="97" t="s">
        <v>127</v>
      </c>
      <c r="AG6" s="97" t="s">
        <v>127</v>
      </c>
      <c r="AH6" s="97" t="s">
        <v>128</v>
      </c>
      <c r="AI6" s="97" t="s">
        <v>128</v>
      </c>
      <c r="AJ6" s="97" t="s">
        <v>129</v>
      </c>
      <c r="AK6" s="97" t="s">
        <v>129</v>
      </c>
      <c r="AL6" s="97" t="s">
        <v>127</v>
      </c>
      <c r="AM6" s="97" t="s">
        <v>127</v>
      </c>
      <c r="AN6" s="97" t="s">
        <v>128</v>
      </c>
      <c r="AO6" s="97" t="s">
        <v>128</v>
      </c>
      <c r="AP6" s="97" t="s">
        <v>129</v>
      </c>
      <c r="AQ6" s="97" t="s">
        <v>129</v>
      </c>
      <c r="AR6" s="97" t="s">
        <v>127</v>
      </c>
      <c r="AS6" s="97" t="s">
        <v>127</v>
      </c>
      <c r="AT6" s="97" t="s">
        <v>128</v>
      </c>
      <c r="AU6" s="97" t="s">
        <v>128</v>
      </c>
      <c r="AV6" s="97" t="s">
        <v>129</v>
      </c>
      <c r="AW6" s="97" t="s">
        <v>129</v>
      </c>
      <c r="AX6" s="98" t="s">
        <v>427</v>
      </c>
      <c r="AY6" s="98" t="s">
        <v>427</v>
      </c>
      <c r="AZ6" s="98" t="s">
        <v>428</v>
      </c>
      <c r="BA6" s="98" t="s">
        <v>428</v>
      </c>
      <c r="BB6" s="98" t="s">
        <v>429</v>
      </c>
      <c r="BC6" s="98" t="s">
        <v>429</v>
      </c>
      <c r="BD6" s="98" t="s">
        <v>426</v>
      </c>
      <c r="BE6" s="98" t="s">
        <v>426</v>
      </c>
      <c r="BF6" s="98" t="s">
        <v>427</v>
      </c>
      <c r="BG6" s="98" t="s">
        <v>427</v>
      </c>
      <c r="BH6" s="98" t="s">
        <v>428</v>
      </c>
      <c r="BI6" s="98" t="s">
        <v>428</v>
      </c>
      <c r="BJ6" s="98" t="s">
        <v>429</v>
      </c>
      <c r="BK6" s="98" t="s">
        <v>429</v>
      </c>
      <c r="BL6" s="98" t="s">
        <v>426</v>
      </c>
      <c r="BM6" s="98" t="s">
        <v>426</v>
      </c>
      <c r="BN6" s="98" t="s">
        <v>427</v>
      </c>
      <c r="BO6" s="98" t="s">
        <v>427</v>
      </c>
      <c r="BP6" s="98" t="s">
        <v>428</v>
      </c>
      <c r="BQ6" s="98" t="s">
        <v>428</v>
      </c>
      <c r="BR6" s="98" t="s">
        <v>429</v>
      </c>
      <c r="BS6" s="98" t="s">
        <v>429</v>
      </c>
      <c r="BT6" s="98" t="s">
        <v>426</v>
      </c>
      <c r="BU6" s="98" t="s">
        <v>426</v>
      </c>
      <c r="BV6" s="99" t="s">
        <v>252</v>
      </c>
      <c r="BW6" s="99" t="s">
        <v>252</v>
      </c>
      <c r="BX6" s="99" t="s">
        <v>252</v>
      </c>
      <c r="BY6" s="99" t="s">
        <v>252</v>
      </c>
      <c r="BZ6" s="99" t="s">
        <v>252</v>
      </c>
      <c r="CA6" s="99" t="s">
        <v>252</v>
      </c>
      <c r="CB6" s="99" t="s">
        <v>253</v>
      </c>
      <c r="CC6" s="99" t="s">
        <v>253</v>
      </c>
      <c r="CD6" s="99" t="s">
        <v>253</v>
      </c>
      <c r="CE6" s="99" t="s">
        <v>253</v>
      </c>
      <c r="CF6" s="99" t="s">
        <v>253</v>
      </c>
      <c r="CG6" s="99" t="s">
        <v>253</v>
      </c>
      <c r="CH6" s="99" t="s">
        <v>254</v>
      </c>
      <c r="CI6" s="99" t="s">
        <v>254</v>
      </c>
      <c r="CJ6" s="99" t="s">
        <v>254</v>
      </c>
      <c r="CK6" s="99" t="s">
        <v>254</v>
      </c>
      <c r="CL6" s="99" t="s">
        <v>254</v>
      </c>
      <c r="CM6" s="99" t="s">
        <v>254</v>
      </c>
      <c r="CN6" s="99" t="s">
        <v>255</v>
      </c>
      <c r="CO6" s="99" t="s">
        <v>255</v>
      </c>
      <c r="CP6" s="99" t="s">
        <v>255</v>
      </c>
      <c r="CQ6" s="99" t="s">
        <v>255</v>
      </c>
      <c r="CR6" s="99" t="s">
        <v>255</v>
      </c>
      <c r="CS6" s="99" t="s">
        <v>255</v>
      </c>
      <c r="CT6" s="99" t="s">
        <v>141</v>
      </c>
      <c r="CU6" s="99" t="s">
        <v>141</v>
      </c>
      <c r="CV6" s="99" t="s">
        <v>141</v>
      </c>
      <c r="CW6" s="99" t="s">
        <v>141</v>
      </c>
      <c r="CX6" s="99" t="s">
        <v>141</v>
      </c>
      <c r="CY6" s="99" t="s">
        <v>141</v>
      </c>
      <c r="CZ6" s="99" t="s">
        <v>142</v>
      </c>
      <c r="DA6" s="99" t="s">
        <v>142</v>
      </c>
      <c r="DB6" s="99" t="s">
        <v>142</v>
      </c>
      <c r="DC6" s="99" t="s">
        <v>142</v>
      </c>
      <c r="DD6" s="99" t="s">
        <v>142</v>
      </c>
      <c r="DE6" s="99" t="s">
        <v>142</v>
      </c>
      <c r="DF6" s="99" t="s">
        <v>143</v>
      </c>
      <c r="DG6" s="99" t="s">
        <v>143</v>
      </c>
      <c r="DH6" s="99" t="s">
        <v>143</v>
      </c>
      <c r="DI6" s="99" t="s">
        <v>143</v>
      </c>
      <c r="DJ6" s="99" t="s">
        <v>143</v>
      </c>
      <c r="DK6" s="99" t="s">
        <v>143</v>
      </c>
      <c r="DL6" s="99" t="s">
        <v>144</v>
      </c>
      <c r="DM6" s="99" t="s">
        <v>144</v>
      </c>
      <c r="DN6" s="99" t="s">
        <v>144</v>
      </c>
      <c r="DO6" s="99" t="s">
        <v>144</v>
      </c>
      <c r="DP6" s="99" t="s">
        <v>144</v>
      </c>
      <c r="DQ6" s="99" t="s">
        <v>144</v>
      </c>
      <c r="DR6" s="100" t="s">
        <v>514</v>
      </c>
      <c r="DS6" s="100" t="s">
        <v>514</v>
      </c>
      <c r="DT6" s="100" t="s">
        <v>514</v>
      </c>
      <c r="DU6" s="100" t="s">
        <v>514</v>
      </c>
      <c r="DV6" s="100" t="s">
        <v>514</v>
      </c>
      <c r="DW6" s="100" t="s">
        <v>514</v>
      </c>
      <c r="DX6" s="100" t="s">
        <v>515</v>
      </c>
      <c r="DY6" s="100" t="s">
        <v>515</v>
      </c>
      <c r="DZ6" s="100" t="s">
        <v>515</v>
      </c>
      <c r="EA6" s="100" t="s">
        <v>515</v>
      </c>
      <c r="EB6" s="100" t="s">
        <v>515</v>
      </c>
      <c r="EC6" s="100" t="s">
        <v>515</v>
      </c>
      <c r="ED6" s="100" t="s">
        <v>516</v>
      </c>
      <c r="EE6" s="100" t="s">
        <v>516</v>
      </c>
      <c r="EF6" s="100" t="s">
        <v>516</v>
      </c>
      <c r="EG6" s="100" t="s">
        <v>516</v>
      </c>
      <c r="EH6" s="100" t="s">
        <v>516</v>
      </c>
      <c r="EI6" s="100" t="s">
        <v>516</v>
      </c>
      <c r="EJ6" s="101" t="s">
        <v>524</v>
      </c>
      <c r="EK6" s="101" t="s">
        <v>524</v>
      </c>
      <c r="EL6" s="101" t="s">
        <v>524</v>
      </c>
      <c r="EM6" s="101" t="s">
        <v>524</v>
      </c>
      <c r="EN6" s="101" t="s">
        <v>524</v>
      </c>
      <c r="EO6" s="101" t="s">
        <v>524</v>
      </c>
      <c r="EP6" s="102" t="s">
        <v>525</v>
      </c>
      <c r="EQ6" s="102" t="s">
        <v>525</v>
      </c>
      <c r="ER6" s="102" t="s">
        <v>525</v>
      </c>
      <c r="ES6" s="102" t="s">
        <v>525</v>
      </c>
      <c r="ET6" s="102" t="s">
        <v>525</v>
      </c>
      <c r="EU6" s="102" t="s">
        <v>525</v>
      </c>
      <c r="EV6" s="102" t="s">
        <v>526</v>
      </c>
      <c r="EW6" s="102" t="s">
        <v>526</v>
      </c>
      <c r="EX6" s="102" t="s">
        <v>526</v>
      </c>
      <c r="EY6" s="102" t="s">
        <v>526</v>
      </c>
      <c r="EZ6" s="102" t="s">
        <v>526</v>
      </c>
      <c r="FA6" s="102" t="s">
        <v>526</v>
      </c>
      <c r="FB6" s="102" t="s">
        <v>527</v>
      </c>
      <c r="FC6" s="102" t="s">
        <v>527</v>
      </c>
      <c r="FD6" s="102" t="s">
        <v>527</v>
      </c>
      <c r="FE6" s="102" t="s">
        <v>527</v>
      </c>
      <c r="FF6" s="102" t="s">
        <v>527</v>
      </c>
      <c r="FG6" s="102" t="s">
        <v>527</v>
      </c>
      <c r="FH6" s="102" t="s">
        <v>528</v>
      </c>
      <c r="FI6" s="102" t="s">
        <v>528</v>
      </c>
      <c r="FJ6" s="102" t="s">
        <v>528</v>
      </c>
      <c r="FK6" s="102" t="s">
        <v>528</v>
      </c>
      <c r="FL6" s="102" t="s">
        <v>528</v>
      </c>
      <c r="FM6" s="102" t="s">
        <v>528</v>
      </c>
    </row>
    <row r="7" spans="1:216" s="87" customFormat="1" x14ac:dyDescent="0.25">
      <c r="A7" s="87" t="s">
        <v>425</v>
      </c>
      <c r="B7" s="96" t="s">
        <v>424</v>
      </c>
      <c r="C7" s="96" t="s">
        <v>279</v>
      </c>
      <c r="D7" s="96" t="s">
        <v>424</v>
      </c>
      <c r="E7" s="96" t="s">
        <v>279</v>
      </c>
      <c r="F7" s="96" t="s">
        <v>424</v>
      </c>
      <c r="G7" s="96" t="s">
        <v>279</v>
      </c>
      <c r="H7" s="96" t="s">
        <v>424</v>
      </c>
      <c r="I7" s="96" t="s">
        <v>279</v>
      </c>
      <c r="J7" s="96" t="s">
        <v>424</v>
      </c>
      <c r="K7" s="96" t="s">
        <v>279</v>
      </c>
      <c r="L7" s="96" t="s">
        <v>424</v>
      </c>
      <c r="M7" s="96" t="s">
        <v>279</v>
      </c>
      <c r="N7" s="96" t="s">
        <v>424</v>
      </c>
      <c r="O7" s="96" t="s">
        <v>279</v>
      </c>
      <c r="P7" s="96" t="s">
        <v>424</v>
      </c>
      <c r="Q7" s="96" t="s">
        <v>279</v>
      </c>
      <c r="R7" s="96" t="s">
        <v>424</v>
      </c>
      <c r="S7" s="96" t="s">
        <v>279</v>
      </c>
      <c r="T7" s="96" t="s">
        <v>424</v>
      </c>
      <c r="U7" s="96" t="s">
        <v>279</v>
      </c>
      <c r="V7" s="96" t="s">
        <v>424</v>
      </c>
      <c r="W7" s="96" t="s">
        <v>279</v>
      </c>
      <c r="X7" s="96" t="s">
        <v>424</v>
      </c>
      <c r="Y7" s="96" t="s">
        <v>279</v>
      </c>
      <c r="Z7" s="96" t="s">
        <v>424</v>
      </c>
      <c r="AA7" s="96" t="s">
        <v>279</v>
      </c>
      <c r="AB7" s="96" t="s">
        <v>424</v>
      </c>
      <c r="AC7" s="96" t="s">
        <v>279</v>
      </c>
      <c r="AD7" s="96" t="s">
        <v>424</v>
      </c>
      <c r="AE7" s="96" t="s">
        <v>279</v>
      </c>
      <c r="AF7" s="103" t="s">
        <v>424</v>
      </c>
      <c r="AG7" s="103" t="s">
        <v>279</v>
      </c>
      <c r="AH7" s="103" t="s">
        <v>424</v>
      </c>
      <c r="AI7" s="103" t="s">
        <v>279</v>
      </c>
      <c r="AJ7" s="103" t="s">
        <v>424</v>
      </c>
      <c r="AK7" s="103" t="s">
        <v>279</v>
      </c>
      <c r="AL7" s="103" t="s">
        <v>424</v>
      </c>
      <c r="AM7" s="103" t="s">
        <v>279</v>
      </c>
      <c r="AN7" s="103" t="s">
        <v>424</v>
      </c>
      <c r="AO7" s="103" t="s">
        <v>279</v>
      </c>
      <c r="AP7" s="103" t="s">
        <v>424</v>
      </c>
      <c r="AQ7" s="103" t="s">
        <v>279</v>
      </c>
      <c r="AR7" s="103" t="s">
        <v>424</v>
      </c>
      <c r="AS7" s="103" t="s">
        <v>279</v>
      </c>
      <c r="AT7" s="103" t="s">
        <v>424</v>
      </c>
      <c r="AU7" s="103" t="s">
        <v>279</v>
      </c>
      <c r="AV7" s="103" t="s">
        <v>424</v>
      </c>
      <c r="AW7" s="103" t="s">
        <v>279</v>
      </c>
      <c r="AX7" s="104" t="s">
        <v>424</v>
      </c>
      <c r="AY7" s="104" t="s">
        <v>279</v>
      </c>
      <c r="AZ7" s="104" t="s">
        <v>424</v>
      </c>
      <c r="BA7" s="104" t="s">
        <v>279</v>
      </c>
      <c r="BB7" s="104" t="s">
        <v>424</v>
      </c>
      <c r="BC7" s="104" t="s">
        <v>279</v>
      </c>
      <c r="BD7" s="104" t="s">
        <v>424</v>
      </c>
      <c r="BE7" s="104" t="s">
        <v>279</v>
      </c>
      <c r="BF7" s="104" t="s">
        <v>424</v>
      </c>
      <c r="BG7" s="104" t="s">
        <v>279</v>
      </c>
      <c r="BH7" s="104" t="s">
        <v>424</v>
      </c>
      <c r="BI7" s="104" t="s">
        <v>279</v>
      </c>
      <c r="BJ7" s="104" t="s">
        <v>424</v>
      </c>
      <c r="BK7" s="104" t="s">
        <v>279</v>
      </c>
      <c r="BL7" s="104" t="s">
        <v>424</v>
      </c>
      <c r="BM7" s="104" t="s">
        <v>279</v>
      </c>
      <c r="BN7" s="104" t="s">
        <v>424</v>
      </c>
      <c r="BO7" s="104" t="s">
        <v>279</v>
      </c>
      <c r="BP7" s="104" t="s">
        <v>424</v>
      </c>
      <c r="BQ7" s="104" t="s">
        <v>279</v>
      </c>
      <c r="BR7" s="104" t="s">
        <v>424</v>
      </c>
      <c r="BS7" s="104" t="s">
        <v>279</v>
      </c>
      <c r="BT7" s="104" t="s">
        <v>424</v>
      </c>
      <c r="BU7" s="104" t="s">
        <v>279</v>
      </c>
      <c r="BV7" s="105" t="s">
        <v>424</v>
      </c>
      <c r="BW7" s="105" t="s">
        <v>279</v>
      </c>
      <c r="BX7" s="105" t="s">
        <v>424</v>
      </c>
      <c r="BY7" s="105" t="s">
        <v>279</v>
      </c>
      <c r="BZ7" s="105" t="s">
        <v>424</v>
      </c>
      <c r="CA7" s="105" t="s">
        <v>279</v>
      </c>
      <c r="CB7" s="105" t="s">
        <v>424</v>
      </c>
      <c r="CC7" s="105" t="s">
        <v>279</v>
      </c>
      <c r="CD7" s="105" t="s">
        <v>424</v>
      </c>
      <c r="CE7" s="105" t="s">
        <v>279</v>
      </c>
      <c r="CF7" s="105" t="s">
        <v>424</v>
      </c>
      <c r="CG7" s="105" t="s">
        <v>279</v>
      </c>
      <c r="CH7" s="105" t="s">
        <v>424</v>
      </c>
      <c r="CI7" s="105" t="s">
        <v>279</v>
      </c>
      <c r="CJ7" s="105" t="s">
        <v>424</v>
      </c>
      <c r="CK7" s="105" t="s">
        <v>279</v>
      </c>
      <c r="CL7" s="105" t="s">
        <v>424</v>
      </c>
      <c r="CM7" s="105" t="s">
        <v>279</v>
      </c>
      <c r="CN7" s="105" t="s">
        <v>424</v>
      </c>
      <c r="CO7" s="105" t="s">
        <v>279</v>
      </c>
      <c r="CP7" s="105" t="s">
        <v>424</v>
      </c>
      <c r="CQ7" s="105" t="s">
        <v>279</v>
      </c>
      <c r="CR7" s="105" t="s">
        <v>424</v>
      </c>
      <c r="CS7" s="105" t="s">
        <v>279</v>
      </c>
      <c r="CT7" s="105" t="s">
        <v>424</v>
      </c>
      <c r="CU7" s="105" t="s">
        <v>279</v>
      </c>
      <c r="CV7" s="105" t="s">
        <v>424</v>
      </c>
      <c r="CW7" s="105" t="s">
        <v>279</v>
      </c>
      <c r="CX7" s="105" t="s">
        <v>424</v>
      </c>
      <c r="CY7" s="105" t="s">
        <v>279</v>
      </c>
      <c r="CZ7" s="105" t="s">
        <v>424</v>
      </c>
      <c r="DA7" s="105" t="s">
        <v>279</v>
      </c>
      <c r="DB7" s="105" t="s">
        <v>424</v>
      </c>
      <c r="DC7" s="105" t="s">
        <v>279</v>
      </c>
      <c r="DD7" s="105" t="s">
        <v>424</v>
      </c>
      <c r="DE7" s="105" t="s">
        <v>279</v>
      </c>
      <c r="DF7" s="105" t="s">
        <v>424</v>
      </c>
      <c r="DG7" s="105" t="s">
        <v>279</v>
      </c>
      <c r="DH7" s="105" t="s">
        <v>424</v>
      </c>
      <c r="DI7" s="105" t="s">
        <v>279</v>
      </c>
      <c r="DJ7" s="105" t="s">
        <v>424</v>
      </c>
      <c r="DK7" s="105" t="s">
        <v>279</v>
      </c>
      <c r="DL7" s="105" t="s">
        <v>424</v>
      </c>
      <c r="DM7" s="105" t="s">
        <v>279</v>
      </c>
      <c r="DN7" s="105" t="s">
        <v>424</v>
      </c>
      <c r="DO7" s="105" t="s">
        <v>279</v>
      </c>
      <c r="DP7" s="105" t="s">
        <v>424</v>
      </c>
      <c r="DQ7" s="105" t="s">
        <v>279</v>
      </c>
      <c r="DR7" s="106" t="s">
        <v>424</v>
      </c>
      <c r="DS7" s="106" t="s">
        <v>279</v>
      </c>
      <c r="DT7" s="106" t="s">
        <v>424</v>
      </c>
      <c r="DU7" s="106" t="s">
        <v>279</v>
      </c>
      <c r="DV7" s="106" t="s">
        <v>424</v>
      </c>
      <c r="DW7" s="106" t="s">
        <v>279</v>
      </c>
      <c r="DX7" s="106" t="s">
        <v>424</v>
      </c>
      <c r="DY7" s="106" t="s">
        <v>279</v>
      </c>
      <c r="DZ7" s="106" t="s">
        <v>424</v>
      </c>
      <c r="EA7" s="106" t="s">
        <v>279</v>
      </c>
      <c r="EB7" s="106" t="s">
        <v>424</v>
      </c>
      <c r="EC7" s="106" t="s">
        <v>279</v>
      </c>
      <c r="ED7" s="106" t="s">
        <v>424</v>
      </c>
      <c r="EE7" s="106" t="s">
        <v>279</v>
      </c>
      <c r="EF7" s="106" t="s">
        <v>424</v>
      </c>
      <c r="EG7" s="106" t="s">
        <v>279</v>
      </c>
      <c r="EH7" s="106" t="s">
        <v>424</v>
      </c>
      <c r="EI7" s="106" t="s">
        <v>279</v>
      </c>
      <c r="EJ7" s="107" t="s">
        <v>424</v>
      </c>
      <c r="EK7" s="107" t="s">
        <v>279</v>
      </c>
      <c r="EL7" s="107" t="s">
        <v>424</v>
      </c>
      <c r="EM7" s="107" t="s">
        <v>279</v>
      </c>
      <c r="EN7" s="107" t="s">
        <v>424</v>
      </c>
      <c r="EO7" s="107" t="s">
        <v>279</v>
      </c>
      <c r="EP7" s="107" t="s">
        <v>424</v>
      </c>
      <c r="EQ7" s="107" t="s">
        <v>279</v>
      </c>
      <c r="ER7" s="107" t="s">
        <v>424</v>
      </c>
      <c r="ES7" s="107" t="s">
        <v>279</v>
      </c>
      <c r="ET7" s="107" t="s">
        <v>424</v>
      </c>
      <c r="EU7" s="107" t="s">
        <v>279</v>
      </c>
      <c r="EV7" s="107" t="s">
        <v>424</v>
      </c>
      <c r="EW7" s="107" t="s">
        <v>279</v>
      </c>
      <c r="EX7" s="107" t="s">
        <v>424</v>
      </c>
      <c r="EY7" s="107" t="s">
        <v>279</v>
      </c>
      <c r="EZ7" s="107" t="s">
        <v>424</v>
      </c>
      <c r="FA7" s="107" t="s">
        <v>279</v>
      </c>
      <c r="FB7" s="107" t="s">
        <v>424</v>
      </c>
      <c r="FC7" s="107" t="s">
        <v>279</v>
      </c>
      <c r="FD7" s="107" t="s">
        <v>424</v>
      </c>
      <c r="FE7" s="107" t="s">
        <v>279</v>
      </c>
      <c r="FF7" s="107" t="s">
        <v>424</v>
      </c>
      <c r="FG7" s="107" t="s">
        <v>279</v>
      </c>
      <c r="FH7" s="107" t="s">
        <v>424</v>
      </c>
      <c r="FI7" s="107" t="s">
        <v>279</v>
      </c>
      <c r="FJ7" s="107" t="s">
        <v>424</v>
      </c>
      <c r="FK7" s="107" t="s">
        <v>279</v>
      </c>
      <c r="FL7" s="107" t="s">
        <v>424</v>
      </c>
      <c r="FM7" s="107" t="s">
        <v>279</v>
      </c>
    </row>
    <row r="8" spans="1:216" s="87" customFormat="1" x14ac:dyDescent="0.25">
      <c r="A8" s="87" t="s">
        <v>422</v>
      </c>
      <c r="B8" s="108" t="s">
        <v>145</v>
      </c>
      <c r="C8" s="108"/>
      <c r="D8" s="108" t="s">
        <v>145</v>
      </c>
      <c r="E8" s="108"/>
      <c r="F8" s="108" t="s">
        <v>145</v>
      </c>
      <c r="G8" s="108"/>
      <c r="H8" s="108" t="s">
        <v>145</v>
      </c>
      <c r="I8" s="108"/>
      <c r="J8" s="108" t="s">
        <v>145</v>
      </c>
      <c r="K8" s="108"/>
      <c r="L8" s="108" t="s">
        <v>45</v>
      </c>
      <c r="M8" s="108"/>
      <c r="N8" s="108" t="s">
        <v>45</v>
      </c>
      <c r="O8" s="108"/>
      <c r="P8" s="108" t="s">
        <v>45</v>
      </c>
      <c r="Q8" s="108"/>
      <c r="R8" s="108" t="s">
        <v>45</v>
      </c>
      <c r="S8" s="108"/>
      <c r="T8" s="108" t="s">
        <v>45</v>
      </c>
      <c r="U8" s="108"/>
      <c r="V8" s="108" t="s">
        <v>153</v>
      </c>
      <c r="W8" s="108"/>
      <c r="X8" s="108" t="s">
        <v>153</v>
      </c>
      <c r="Y8" s="108"/>
      <c r="Z8" s="108" t="s">
        <v>153</v>
      </c>
      <c r="AA8" s="108"/>
      <c r="AB8" s="108" t="s">
        <v>153</v>
      </c>
      <c r="AC8" s="108"/>
      <c r="AD8" s="108" t="s">
        <v>153</v>
      </c>
      <c r="AE8" s="108"/>
      <c r="AF8" s="97" t="s">
        <v>145</v>
      </c>
      <c r="AG8" s="97"/>
      <c r="AH8" s="97" t="s">
        <v>145</v>
      </c>
      <c r="AI8" s="97"/>
      <c r="AJ8" s="97" t="s">
        <v>145</v>
      </c>
      <c r="AK8" s="97"/>
      <c r="AL8" s="97" t="s">
        <v>45</v>
      </c>
      <c r="AM8" s="97"/>
      <c r="AN8" s="97" t="s">
        <v>45</v>
      </c>
      <c r="AO8" s="97"/>
      <c r="AP8" s="97" t="s">
        <v>45</v>
      </c>
      <c r="AQ8" s="97"/>
      <c r="AR8" s="97" t="s">
        <v>153</v>
      </c>
      <c r="AS8" s="97"/>
      <c r="AT8" s="97" t="s">
        <v>153</v>
      </c>
      <c r="AU8" s="97"/>
      <c r="AV8" s="97" t="s">
        <v>153</v>
      </c>
      <c r="AW8" s="97"/>
      <c r="AX8" s="98" t="s">
        <v>145</v>
      </c>
      <c r="AY8" s="98"/>
      <c r="AZ8" s="98" t="s">
        <v>145</v>
      </c>
      <c r="BA8" s="98"/>
      <c r="BB8" s="98" t="s">
        <v>145</v>
      </c>
      <c r="BC8" s="98"/>
      <c r="BD8" s="98" t="s">
        <v>145</v>
      </c>
      <c r="BE8" s="98"/>
      <c r="BF8" s="98" t="s">
        <v>45</v>
      </c>
      <c r="BG8" s="98"/>
      <c r="BH8" s="98" t="s">
        <v>45</v>
      </c>
      <c r="BI8" s="98"/>
      <c r="BJ8" s="98" t="s">
        <v>45</v>
      </c>
      <c r="BK8" s="98"/>
      <c r="BL8" s="98" t="s">
        <v>45</v>
      </c>
      <c r="BM8" s="98"/>
      <c r="BN8" s="98" t="s">
        <v>153</v>
      </c>
      <c r="BO8" s="98"/>
      <c r="BP8" s="98" t="s">
        <v>153</v>
      </c>
      <c r="BQ8" s="98"/>
      <c r="BR8" s="98" t="s">
        <v>153</v>
      </c>
      <c r="BS8" s="98"/>
      <c r="BT8" s="98" t="s">
        <v>153</v>
      </c>
      <c r="BU8" s="98"/>
      <c r="BV8" s="99" t="s">
        <v>145</v>
      </c>
      <c r="BW8" s="99"/>
      <c r="BX8" s="99" t="s">
        <v>45</v>
      </c>
      <c r="BY8" s="99"/>
      <c r="BZ8" s="99" t="s">
        <v>153</v>
      </c>
      <c r="CA8" s="99"/>
      <c r="CB8" s="99" t="s">
        <v>145</v>
      </c>
      <c r="CC8" s="99"/>
      <c r="CD8" s="99" t="s">
        <v>45</v>
      </c>
      <c r="CE8" s="99"/>
      <c r="CF8" s="99" t="s">
        <v>153</v>
      </c>
      <c r="CG8" s="99"/>
      <c r="CH8" s="99" t="s">
        <v>145</v>
      </c>
      <c r="CI8" s="99"/>
      <c r="CJ8" s="99" t="s">
        <v>45</v>
      </c>
      <c r="CK8" s="99"/>
      <c r="CL8" s="99" t="s">
        <v>153</v>
      </c>
      <c r="CM8" s="99"/>
      <c r="CN8" s="99" t="s">
        <v>145</v>
      </c>
      <c r="CO8" s="99"/>
      <c r="CP8" s="99" t="s">
        <v>45</v>
      </c>
      <c r="CQ8" s="99"/>
      <c r="CR8" s="99" t="s">
        <v>153</v>
      </c>
      <c r="CS8" s="99"/>
      <c r="CT8" s="99" t="s">
        <v>145</v>
      </c>
      <c r="CU8" s="99"/>
      <c r="CV8" s="99" t="s">
        <v>45</v>
      </c>
      <c r="CW8" s="99"/>
      <c r="CX8" s="99" t="s">
        <v>153</v>
      </c>
      <c r="CY8" s="99"/>
      <c r="CZ8" s="99" t="s">
        <v>145</v>
      </c>
      <c r="DA8" s="99"/>
      <c r="DB8" s="99" t="s">
        <v>45</v>
      </c>
      <c r="DC8" s="99"/>
      <c r="DD8" s="99" t="s">
        <v>153</v>
      </c>
      <c r="DE8" s="99"/>
      <c r="DF8" s="99" t="s">
        <v>145</v>
      </c>
      <c r="DG8" s="99"/>
      <c r="DH8" s="99" t="s">
        <v>45</v>
      </c>
      <c r="DI8" s="99"/>
      <c r="DJ8" s="99" t="s">
        <v>153</v>
      </c>
      <c r="DK8" s="99"/>
      <c r="DL8" s="99" t="s">
        <v>145</v>
      </c>
      <c r="DM8" s="99"/>
      <c r="DN8" s="99" t="s">
        <v>45</v>
      </c>
      <c r="DO8" s="99"/>
      <c r="DP8" s="99" t="s">
        <v>153</v>
      </c>
      <c r="DQ8" s="99"/>
      <c r="DR8" s="100" t="s">
        <v>145</v>
      </c>
      <c r="DS8" s="100"/>
      <c r="DT8" s="100" t="s">
        <v>45</v>
      </c>
      <c r="DU8" s="100"/>
      <c r="DV8" s="100" t="s">
        <v>153</v>
      </c>
      <c r="DW8" s="100"/>
      <c r="DX8" s="100" t="s">
        <v>145</v>
      </c>
      <c r="DY8" s="100"/>
      <c r="DZ8" s="100" t="s">
        <v>45</v>
      </c>
      <c r="EA8" s="100"/>
      <c r="EB8" s="100" t="s">
        <v>153</v>
      </c>
      <c r="EC8" s="100"/>
      <c r="ED8" s="100" t="s">
        <v>145</v>
      </c>
      <c r="EE8" s="100"/>
      <c r="EF8" s="100" t="s">
        <v>45</v>
      </c>
      <c r="EG8" s="100"/>
      <c r="EH8" s="100" t="s">
        <v>153</v>
      </c>
      <c r="EI8" s="100"/>
      <c r="EJ8" s="101" t="s">
        <v>145</v>
      </c>
      <c r="EK8" s="101"/>
      <c r="EL8" s="102" t="s">
        <v>45</v>
      </c>
      <c r="EM8" s="102"/>
      <c r="EN8" s="102" t="s">
        <v>153</v>
      </c>
      <c r="EO8" s="102"/>
      <c r="EP8" s="101" t="s">
        <v>145</v>
      </c>
      <c r="EQ8" s="101"/>
      <c r="ER8" s="102" t="s">
        <v>45</v>
      </c>
      <c r="ES8" s="102"/>
      <c r="ET8" s="102" t="s">
        <v>153</v>
      </c>
      <c r="EU8" s="102"/>
      <c r="EV8" s="101" t="s">
        <v>145</v>
      </c>
      <c r="EW8" s="101"/>
      <c r="EX8" s="102" t="s">
        <v>45</v>
      </c>
      <c r="EY8" s="102"/>
      <c r="EZ8" s="102" t="s">
        <v>153</v>
      </c>
      <c r="FA8" s="102"/>
      <c r="FB8" s="101" t="s">
        <v>145</v>
      </c>
      <c r="FC8" s="101"/>
      <c r="FD8" s="102" t="s">
        <v>45</v>
      </c>
      <c r="FE8" s="102"/>
      <c r="FF8" s="102" t="s">
        <v>153</v>
      </c>
      <c r="FG8" s="102"/>
      <c r="FH8" s="101" t="s">
        <v>145</v>
      </c>
      <c r="FI8" s="101"/>
      <c r="FJ8" s="102" t="s">
        <v>45</v>
      </c>
      <c r="FK8" s="102"/>
      <c r="FL8" s="102" t="s">
        <v>153</v>
      </c>
      <c r="FM8" s="102"/>
    </row>
    <row r="9" spans="1:216" x14ac:dyDescent="0.25">
      <c r="A9" s="69" t="s">
        <v>430</v>
      </c>
      <c r="B9" s="109">
        <v>100</v>
      </c>
      <c r="C9" s="109">
        <v>101</v>
      </c>
      <c r="D9" s="109">
        <v>102</v>
      </c>
      <c r="E9" s="109">
        <v>103</v>
      </c>
      <c r="F9" s="109">
        <v>104</v>
      </c>
      <c r="G9" s="109">
        <v>105</v>
      </c>
      <c r="H9" s="109">
        <v>106</v>
      </c>
      <c r="I9" s="109">
        <v>107</v>
      </c>
      <c r="J9" s="109">
        <v>108</v>
      </c>
      <c r="K9" s="109">
        <v>109</v>
      </c>
      <c r="L9" s="109">
        <v>110</v>
      </c>
      <c r="M9" s="109">
        <v>111</v>
      </c>
      <c r="N9" s="109">
        <v>112</v>
      </c>
      <c r="O9" s="109">
        <v>113</v>
      </c>
      <c r="P9" s="109">
        <v>114</v>
      </c>
      <c r="Q9" s="109">
        <v>115</v>
      </c>
      <c r="R9" s="109">
        <v>116</v>
      </c>
      <c r="S9" s="109">
        <v>117</v>
      </c>
      <c r="T9" s="109">
        <v>118</v>
      </c>
      <c r="U9" s="109">
        <v>119</v>
      </c>
      <c r="V9" s="109">
        <v>120</v>
      </c>
      <c r="W9" s="109">
        <v>121</v>
      </c>
      <c r="X9" s="109">
        <v>122</v>
      </c>
      <c r="Y9" s="109">
        <v>123</v>
      </c>
      <c r="Z9" s="109">
        <v>124</v>
      </c>
      <c r="AA9" s="109">
        <v>125</v>
      </c>
      <c r="AB9" s="109">
        <v>126</v>
      </c>
      <c r="AC9" s="109">
        <v>127</v>
      </c>
      <c r="AD9" s="109">
        <v>128</v>
      </c>
      <c r="AE9" s="109">
        <v>129</v>
      </c>
      <c r="AF9" s="110">
        <v>130</v>
      </c>
      <c r="AG9" s="110">
        <v>131</v>
      </c>
      <c r="AH9" s="110">
        <v>132</v>
      </c>
      <c r="AI9" s="110">
        <v>133</v>
      </c>
      <c r="AJ9" s="110">
        <v>134</v>
      </c>
      <c r="AK9" s="110">
        <v>135</v>
      </c>
      <c r="AL9" s="110">
        <v>136</v>
      </c>
      <c r="AM9" s="110">
        <v>137</v>
      </c>
      <c r="AN9" s="110">
        <v>138</v>
      </c>
      <c r="AO9" s="110">
        <v>139</v>
      </c>
      <c r="AP9" s="110">
        <v>140</v>
      </c>
      <c r="AQ9" s="110">
        <v>141</v>
      </c>
      <c r="AR9" s="110">
        <v>142</v>
      </c>
      <c r="AS9" s="110">
        <v>143</v>
      </c>
      <c r="AT9" s="110">
        <v>144</v>
      </c>
      <c r="AU9" s="110">
        <v>145</v>
      </c>
      <c r="AV9" s="110">
        <v>146</v>
      </c>
      <c r="AW9" s="110">
        <v>147</v>
      </c>
      <c r="AX9" s="111">
        <v>148</v>
      </c>
      <c r="AY9" s="111">
        <v>149</v>
      </c>
      <c r="AZ9" s="111">
        <v>150</v>
      </c>
      <c r="BA9" s="111">
        <v>151</v>
      </c>
      <c r="BB9" s="111">
        <v>152</v>
      </c>
      <c r="BC9" s="111">
        <v>153</v>
      </c>
      <c r="BD9" s="111">
        <v>154</v>
      </c>
      <c r="BE9" s="111">
        <v>155</v>
      </c>
      <c r="BF9" s="111">
        <v>156</v>
      </c>
      <c r="BG9" s="111">
        <v>157</v>
      </c>
      <c r="BH9" s="111">
        <v>158</v>
      </c>
      <c r="BI9" s="111">
        <v>159</v>
      </c>
      <c r="BJ9" s="111">
        <v>160</v>
      </c>
      <c r="BK9" s="111">
        <v>161</v>
      </c>
      <c r="BL9" s="111">
        <v>162</v>
      </c>
      <c r="BM9" s="111">
        <v>163</v>
      </c>
      <c r="BN9" s="111">
        <v>164</v>
      </c>
      <c r="BO9" s="111">
        <v>165</v>
      </c>
      <c r="BP9" s="111">
        <v>166</v>
      </c>
      <c r="BQ9" s="111">
        <v>167</v>
      </c>
      <c r="BR9" s="111">
        <v>168</v>
      </c>
      <c r="BS9" s="111">
        <v>169</v>
      </c>
      <c r="BT9" s="111">
        <v>170</v>
      </c>
      <c r="BU9" s="111">
        <v>171</v>
      </c>
      <c r="BV9" s="112">
        <v>172</v>
      </c>
      <c r="BW9" s="112">
        <v>173</v>
      </c>
      <c r="BX9" s="112">
        <v>174</v>
      </c>
      <c r="BY9" s="112">
        <v>175</v>
      </c>
      <c r="BZ9" s="112">
        <v>176</v>
      </c>
      <c r="CA9" s="112">
        <v>177</v>
      </c>
      <c r="CB9" s="112">
        <v>178</v>
      </c>
      <c r="CC9" s="112">
        <v>179</v>
      </c>
      <c r="CD9" s="112">
        <v>180</v>
      </c>
      <c r="CE9" s="112">
        <v>181</v>
      </c>
      <c r="CF9" s="112">
        <v>182</v>
      </c>
      <c r="CG9" s="112">
        <v>183</v>
      </c>
      <c r="CH9" s="112">
        <v>184</v>
      </c>
      <c r="CI9" s="112">
        <v>185</v>
      </c>
      <c r="CJ9" s="112">
        <v>186</v>
      </c>
      <c r="CK9" s="112">
        <v>187</v>
      </c>
      <c r="CL9" s="112">
        <v>188</v>
      </c>
      <c r="CM9" s="112">
        <v>189</v>
      </c>
      <c r="CN9" s="112">
        <v>190</v>
      </c>
      <c r="CO9" s="112">
        <v>191</v>
      </c>
      <c r="CP9" s="112">
        <v>192</v>
      </c>
      <c r="CQ9" s="112">
        <v>193</v>
      </c>
      <c r="CR9" s="112">
        <v>194</v>
      </c>
      <c r="CS9" s="112">
        <v>195</v>
      </c>
      <c r="CT9" s="112">
        <v>196</v>
      </c>
      <c r="CU9" s="112">
        <v>197</v>
      </c>
      <c r="CV9" s="112">
        <v>198</v>
      </c>
      <c r="CW9" s="112">
        <v>199</v>
      </c>
      <c r="CX9" s="112">
        <v>200</v>
      </c>
      <c r="CY9" s="112">
        <v>201</v>
      </c>
      <c r="CZ9" s="112">
        <v>202</v>
      </c>
      <c r="DA9" s="112">
        <v>203</v>
      </c>
      <c r="DB9" s="112">
        <v>204</v>
      </c>
      <c r="DC9" s="112">
        <v>205</v>
      </c>
      <c r="DD9" s="112">
        <v>206</v>
      </c>
      <c r="DE9" s="112">
        <v>207</v>
      </c>
      <c r="DF9" s="112">
        <v>208</v>
      </c>
      <c r="DG9" s="112">
        <v>209</v>
      </c>
      <c r="DH9" s="112">
        <v>210</v>
      </c>
      <c r="DI9" s="112">
        <v>211</v>
      </c>
      <c r="DJ9" s="112">
        <v>212</v>
      </c>
      <c r="DK9" s="112">
        <v>213</v>
      </c>
      <c r="DL9" s="112">
        <v>214</v>
      </c>
      <c r="DM9" s="112">
        <v>215</v>
      </c>
      <c r="DN9" s="112">
        <v>216</v>
      </c>
      <c r="DO9" s="112">
        <v>217</v>
      </c>
      <c r="DP9" s="112">
        <v>218</v>
      </c>
      <c r="DQ9" s="112">
        <v>219</v>
      </c>
      <c r="DR9" s="113">
        <v>220</v>
      </c>
      <c r="DS9" s="113">
        <v>221</v>
      </c>
      <c r="DT9" s="113">
        <v>222</v>
      </c>
      <c r="DU9" s="113">
        <v>223</v>
      </c>
      <c r="DV9" s="113">
        <v>224</v>
      </c>
      <c r="DW9" s="113">
        <v>225</v>
      </c>
      <c r="DX9" s="113">
        <v>226</v>
      </c>
      <c r="DY9" s="113">
        <v>227</v>
      </c>
      <c r="DZ9" s="113">
        <v>228</v>
      </c>
      <c r="EA9" s="113">
        <v>229</v>
      </c>
      <c r="EB9" s="113">
        <v>230</v>
      </c>
      <c r="EC9" s="113">
        <v>231</v>
      </c>
      <c r="ED9" s="113">
        <v>232</v>
      </c>
      <c r="EE9" s="113">
        <v>233</v>
      </c>
      <c r="EF9" s="113">
        <v>234</v>
      </c>
      <c r="EG9" s="113">
        <v>235</v>
      </c>
      <c r="EH9" s="113">
        <v>236</v>
      </c>
      <c r="EI9" s="113">
        <v>237</v>
      </c>
      <c r="EJ9" s="114">
        <v>238</v>
      </c>
      <c r="EK9" s="114">
        <v>239</v>
      </c>
      <c r="EL9" s="114">
        <v>240</v>
      </c>
      <c r="EM9" s="114">
        <v>241</v>
      </c>
      <c r="EN9" s="114">
        <v>242</v>
      </c>
      <c r="EO9" s="114">
        <v>243</v>
      </c>
      <c r="EP9" s="114">
        <v>244</v>
      </c>
      <c r="EQ9" s="114">
        <v>245</v>
      </c>
      <c r="ER9" s="114">
        <v>246</v>
      </c>
      <c r="ES9" s="114">
        <v>247</v>
      </c>
      <c r="ET9" s="114">
        <v>248</v>
      </c>
      <c r="EU9" s="114">
        <v>249</v>
      </c>
      <c r="EV9" s="114">
        <v>250</v>
      </c>
      <c r="EW9" s="114">
        <v>251</v>
      </c>
      <c r="EX9" s="114">
        <v>252</v>
      </c>
      <c r="EY9" s="114">
        <v>253</v>
      </c>
      <c r="EZ9" s="114">
        <v>254</v>
      </c>
      <c r="FA9" s="114">
        <v>255</v>
      </c>
      <c r="FB9" s="114">
        <v>256</v>
      </c>
      <c r="FC9" s="114">
        <v>257</v>
      </c>
      <c r="FD9" s="114">
        <v>258</v>
      </c>
      <c r="FE9" s="114">
        <v>259</v>
      </c>
      <c r="FF9" s="114">
        <v>260</v>
      </c>
      <c r="FG9" s="114">
        <v>261</v>
      </c>
      <c r="FH9" s="114">
        <v>262</v>
      </c>
      <c r="FI9" s="114">
        <v>263</v>
      </c>
      <c r="FJ9" s="114">
        <v>264</v>
      </c>
      <c r="FK9" s="114">
        <v>265</v>
      </c>
      <c r="FL9" s="114">
        <v>266</v>
      </c>
      <c r="FM9" s="114">
        <v>267</v>
      </c>
      <c r="FN9" s="46">
        <v>268</v>
      </c>
      <c r="FO9" s="46">
        <v>269</v>
      </c>
      <c r="FP9" s="46">
        <v>270</v>
      </c>
      <c r="FQ9" s="46">
        <v>271</v>
      </c>
      <c r="FR9" s="46">
        <v>272</v>
      </c>
      <c r="FS9" s="46">
        <v>273</v>
      </c>
      <c r="FT9" s="46">
        <v>274</v>
      </c>
      <c r="FU9" s="46">
        <v>275</v>
      </c>
      <c r="FV9" s="46">
        <v>276</v>
      </c>
      <c r="FW9" s="46">
        <v>277</v>
      </c>
      <c r="FX9" s="46">
        <v>278</v>
      </c>
      <c r="FY9" s="46">
        <v>279</v>
      </c>
      <c r="FZ9" s="46">
        <v>280</v>
      </c>
      <c r="GA9" s="46">
        <v>281</v>
      </c>
      <c r="GB9" s="46">
        <v>282</v>
      </c>
      <c r="GC9" s="46">
        <v>283</v>
      </c>
      <c r="GD9" s="46">
        <v>284</v>
      </c>
      <c r="GE9" s="46">
        <v>285</v>
      </c>
      <c r="GF9" s="46">
        <v>286</v>
      </c>
      <c r="GG9" s="46">
        <v>287</v>
      </c>
      <c r="GH9" s="46">
        <v>288</v>
      </c>
      <c r="GI9" s="46">
        <v>289</v>
      </c>
      <c r="GJ9" s="46">
        <v>290</v>
      </c>
      <c r="GK9" s="46">
        <v>291</v>
      </c>
      <c r="GL9" s="46">
        <v>292</v>
      </c>
      <c r="GM9" s="46">
        <v>293</v>
      </c>
      <c r="GN9" s="46">
        <v>294</v>
      </c>
      <c r="GO9" s="46">
        <v>295</v>
      </c>
      <c r="GP9" s="46">
        <v>296</v>
      </c>
      <c r="GQ9" s="46">
        <v>297</v>
      </c>
      <c r="GR9" s="46">
        <v>298</v>
      </c>
      <c r="GS9" s="46">
        <v>299</v>
      </c>
      <c r="GT9" s="46">
        <v>300</v>
      </c>
      <c r="GU9" s="46">
        <v>301</v>
      </c>
      <c r="GV9" s="46">
        <v>302</v>
      </c>
      <c r="GW9" s="46">
        <v>303</v>
      </c>
      <c r="GX9" s="46">
        <v>304</v>
      </c>
      <c r="GY9" s="46">
        <v>305</v>
      </c>
      <c r="GZ9" s="46">
        <v>306</v>
      </c>
      <c r="HA9" s="46">
        <v>307</v>
      </c>
      <c r="HB9" s="46">
        <v>308</v>
      </c>
      <c r="HC9" s="46">
        <v>309</v>
      </c>
      <c r="HD9" s="46">
        <v>310</v>
      </c>
      <c r="HE9" s="46">
        <v>311</v>
      </c>
      <c r="HF9" s="46">
        <v>312</v>
      </c>
      <c r="HG9" s="46">
        <v>313</v>
      </c>
      <c r="HH9" s="46">
        <v>314</v>
      </c>
    </row>
    <row r="10" spans="1:216" x14ac:dyDescent="0.25">
      <c r="A10" s="69" t="s">
        <v>455</v>
      </c>
      <c r="B10" s="109">
        <v>2</v>
      </c>
      <c r="C10" s="109">
        <v>3</v>
      </c>
      <c r="D10" s="109">
        <v>4</v>
      </c>
      <c r="E10" s="109">
        <v>5</v>
      </c>
      <c r="F10" s="109">
        <v>6</v>
      </c>
      <c r="G10" s="109">
        <v>7</v>
      </c>
      <c r="H10" s="109">
        <v>8</v>
      </c>
      <c r="I10" s="109">
        <v>9</v>
      </c>
      <c r="J10" s="109">
        <v>10</v>
      </c>
      <c r="K10" s="109">
        <v>11</v>
      </c>
      <c r="L10" s="109">
        <v>12</v>
      </c>
      <c r="M10" s="109">
        <v>13</v>
      </c>
      <c r="N10" s="109">
        <v>14</v>
      </c>
      <c r="O10" s="109">
        <v>15</v>
      </c>
      <c r="P10" s="109">
        <v>16</v>
      </c>
      <c r="Q10" s="109">
        <v>17</v>
      </c>
      <c r="R10" s="109">
        <v>18</v>
      </c>
      <c r="S10" s="109">
        <v>19</v>
      </c>
      <c r="T10" s="109">
        <v>20</v>
      </c>
      <c r="U10" s="109">
        <v>21</v>
      </c>
      <c r="V10" s="109">
        <v>22</v>
      </c>
      <c r="W10" s="109">
        <v>23</v>
      </c>
      <c r="X10" s="109">
        <v>24</v>
      </c>
      <c r="Y10" s="109">
        <v>25</v>
      </c>
      <c r="Z10" s="109">
        <v>26</v>
      </c>
      <c r="AA10" s="109">
        <v>27</v>
      </c>
      <c r="AB10" s="109">
        <v>28</v>
      </c>
      <c r="AC10" s="109">
        <v>29</v>
      </c>
      <c r="AD10" s="109">
        <v>30</v>
      </c>
      <c r="AE10" s="109">
        <v>31</v>
      </c>
      <c r="AF10" s="110">
        <v>32</v>
      </c>
      <c r="AG10" s="110">
        <v>33</v>
      </c>
      <c r="AH10" s="110">
        <v>34</v>
      </c>
      <c r="AI10" s="110">
        <v>35</v>
      </c>
      <c r="AJ10" s="110">
        <v>36</v>
      </c>
      <c r="AK10" s="110">
        <v>37</v>
      </c>
      <c r="AL10" s="110">
        <v>38</v>
      </c>
      <c r="AM10" s="110">
        <v>39</v>
      </c>
      <c r="AN10" s="110">
        <v>40</v>
      </c>
      <c r="AO10" s="110">
        <v>41</v>
      </c>
      <c r="AP10" s="110">
        <v>42</v>
      </c>
      <c r="AQ10" s="110">
        <v>43</v>
      </c>
      <c r="AR10" s="110">
        <v>44</v>
      </c>
      <c r="AS10" s="110">
        <v>45</v>
      </c>
      <c r="AT10" s="110">
        <v>46</v>
      </c>
      <c r="AU10" s="110">
        <v>47</v>
      </c>
      <c r="AV10" s="110">
        <v>48</v>
      </c>
      <c r="AW10" s="110">
        <v>49</v>
      </c>
      <c r="AX10" s="111">
        <v>50</v>
      </c>
      <c r="AY10" s="111">
        <v>51</v>
      </c>
      <c r="AZ10" s="111">
        <v>52</v>
      </c>
      <c r="BA10" s="111">
        <v>53</v>
      </c>
      <c r="BB10" s="111">
        <v>54</v>
      </c>
      <c r="BC10" s="111">
        <v>55</v>
      </c>
      <c r="BD10" s="111">
        <v>56</v>
      </c>
      <c r="BE10" s="111">
        <v>57</v>
      </c>
      <c r="BF10" s="111">
        <v>58</v>
      </c>
      <c r="BG10" s="111">
        <v>59</v>
      </c>
      <c r="BH10" s="111">
        <v>60</v>
      </c>
      <c r="BI10" s="111">
        <v>61</v>
      </c>
      <c r="BJ10" s="111">
        <v>62</v>
      </c>
      <c r="BK10" s="111">
        <v>63</v>
      </c>
      <c r="BL10" s="111">
        <v>64</v>
      </c>
      <c r="BM10" s="111">
        <v>65</v>
      </c>
      <c r="BN10" s="111">
        <v>66</v>
      </c>
      <c r="BO10" s="111">
        <v>67</v>
      </c>
      <c r="BP10" s="111">
        <v>68</v>
      </c>
      <c r="BQ10" s="111">
        <v>69</v>
      </c>
      <c r="BR10" s="111">
        <v>70</v>
      </c>
      <c r="BS10" s="111">
        <v>71</v>
      </c>
      <c r="BT10" s="111">
        <v>72</v>
      </c>
      <c r="BU10" s="111">
        <v>73</v>
      </c>
      <c r="BV10" s="112">
        <v>74</v>
      </c>
      <c r="BW10" s="112">
        <v>75</v>
      </c>
      <c r="BX10" s="112">
        <v>76</v>
      </c>
      <c r="BY10" s="112">
        <v>77</v>
      </c>
      <c r="BZ10" s="112">
        <v>78</v>
      </c>
      <c r="CA10" s="112">
        <v>79</v>
      </c>
      <c r="CB10" s="112">
        <v>80</v>
      </c>
      <c r="CC10" s="112">
        <v>81</v>
      </c>
      <c r="CD10" s="112">
        <v>82</v>
      </c>
      <c r="CE10" s="112">
        <v>83</v>
      </c>
      <c r="CF10" s="112">
        <v>84</v>
      </c>
      <c r="CG10" s="112">
        <v>85</v>
      </c>
      <c r="CH10" s="112">
        <v>86</v>
      </c>
      <c r="CI10" s="112">
        <v>87</v>
      </c>
      <c r="CJ10" s="112">
        <v>88</v>
      </c>
      <c r="CK10" s="112">
        <v>89</v>
      </c>
      <c r="CL10" s="112">
        <v>90</v>
      </c>
      <c r="CM10" s="112">
        <v>91</v>
      </c>
      <c r="CN10" s="112">
        <v>92</v>
      </c>
      <c r="CO10" s="112">
        <v>93</v>
      </c>
      <c r="CP10" s="112">
        <v>94</v>
      </c>
      <c r="CQ10" s="112">
        <v>95</v>
      </c>
      <c r="CR10" s="112">
        <v>96</v>
      </c>
      <c r="CS10" s="112">
        <v>97</v>
      </c>
      <c r="CT10" s="112">
        <v>98</v>
      </c>
      <c r="CU10" s="112">
        <v>99</v>
      </c>
      <c r="CV10" s="112">
        <v>100</v>
      </c>
      <c r="CW10" s="112">
        <v>101</v>
      </c>
      <c r="CX10" s="112">
        <v>102</v>
      </c>
      <c r="CY10" s="112">
        <v>103</v>
      </c>
      <c r="CZ10" s="112">
        <v>104</v>
      </c>
      <c r="DA10" s="112">
        <v>105</v>
      </c>
      <c r="DB10" s="112">
        <v>106</v>
      </c>
      <c r="DC10" s="112">
        <v>107</v>
      </c>
      <c r="DD10" s="112">
        <v>108</v>
      </c>
      <c r="DE10" s="112">
        <v>109</v>
      </c>
      <c r="DF10" s="112">
        <v>110</v>
      </c>
      <c r="DG10" s="112">
        <v>111</v>
      </c>
      <c r="DH10" s="112">
        <v>112</v>
      </c>
      <c r="DI10" s="112">
        <v>113</v>
      </c>
      <c r="DJ10" s="112">
        <v>114</v>
      </c>
      <c r="DK10" s="112">
        <v>115</v>
      </c>
      <c r="DL10" s="112">
        <v>116</v>
      </c>
      <c r="DM10" s="112">
        <v>117</v>
      </c>
      <c r="DN10" s="112">
        <v>118</v>
      </c>
      <c r="DO10" s="112">
        <v>119</v>
      </c>
      <c r="DP10" s="112">
        <v>120</v>
      </c>
      <c r="DQ10" s="112">
        <v>121</v>
      </c>
      <c r="DR10" s="113">
        <v>122</v>
      </c>
      <c r="DS10" s="113">
        <v>123</v>
      </c>
      <c r="DT10" s="113">
        <v>124</v>
      </c>
      <c r="DU10" s="113">
        <v>125</v>
      </c>
      <c r="DV10" s="113">
        <v>126</v>
      </c>
      <c r="DW10" s="113">
        <v>127</v>
      </c>
      <c r="DX10" s="113">
        <v>128</v>
      </c>
      <c r="DY10" s="113">
        <v>129</v>
      </c>
      <c r="DZ10" s="113">
        <v>130</v>
      </c>
      <c r="EA10" s="113">
        <v>131</v>
      </c>
      <c r="EB10" s="113">
        <v>132</v>
      </c>
      <c r="EC10" s="113">
        <v>133</v>
      </c>
      <c r="ED10" s="113">
        <v>134</v>
      </c>
      <c r="EE10" s="113">
        <v>135</v>
      </c>
      <c r="EF10" s="113">
        <v>136</v>
      </c>
      <c r="EG10" s="113">
        <v>137</v>
      </c>
      <c r="EH10" s="113">
        <v>138</v>
      </c>
      <c r="EI10" s="113">
        <v>139</v>
      </c>
      <c r="EJ10" s="114">
        <v>140</v>
      </c>
      <c r="EK10" s="114">
        <v>141</v>
      </c>
      <c r="EL10" s="114">
        <v>142</v>
      </c>
      <c r="EM10" s="114">
        <v>143</v>
      </c>
      <c r="EN10" s="114">
        <v>144</v>
      </c>
      <c r="EO10" s="114">
        <v>145</v>
      </c>
      <c r="EP10" s="114">
        <v>146</v>
      </c>
      <c r="EQ10" s="114">
        <v>147</v>
      </c>
      <c r="ER10" s="114">
        <v>148</v>
      </c>
      <c r="ES10" s="114">
        <v>149</v>
      </c>
      <c r="ET10" s="114">
        <v>150</v>
      </c>
      <c r="EU10" s="114">
        <v>151</v>
      </c>
      <c r="EV10" s="114">
        <v>152</v>
      </c>
      <c r="EW10" s="114">
        <v>153</v>
      </c>
      <c r="EX10" s="114">
        <v>154</v>
      </c>
      <c r="EY10" s="114">
        <v>155</v>
      </c>
      <c r="EZ10" s="114">
        <v>156</v>
      </c>
      <c r="FA10" s="114">
        <v>157</v>
      </c>
      <c r="FB10" s="114">
        <v>158</v>
      </c>
      <c r="FC10" s="114">
        <v>159</v>
      </c>
      <c r="FD10" s="114">
        <v>160</v>
      </c>
      <c r="FE10" s="114">
        <v>161</v>
      </c>
      <c r="FF10" s="114">
        <v>162</v>
      </c>
      <c r="FG10" s="114">
        <v>163</v>
      </c>
      <c r="FH10" s="114">
        <v>164</v>
      </c>
      <c r="FI10" s="114">
        <v>165</v>
      </c>
      <c r="FJ10" s="114">
        <v>166</v>
      </c>
      <c r="FK10" s="114">
        <v>167</v>
      </c>
      <c r="FL10" s="114">
        <v>168</v>
      </c>
      <c r="FM10" s="114">
        <v>169</v>
      </c>
      <c r="FN10" s="46">
        <v>170</v>
      </c>
      <c r="FO10" s="46">
        <v>171</v>
      </c>
      <c r="FP10" s="46">
        <v>172</v>
      </c>
      <c r="FQ10" s="46">
        <v>173</v>
      </c>
      <c r="FR10" s="46">
        <v>174</v>
      </c>
      <c r="FS10" s="46">
        <v>175</v>
      </c>
      <c r="FT10" s="46">
        <v>176</v>
      </c>
      <c r="FU10" s="46">
        <v>177</v>
      </c>
      <c r="FV10" s="46">
        <v>178</v>
      </c>
      <c r="FW10" s="46">
        <v>179</v>
      </c>
      <c r="FX10" s="46">
        <v>180</v>
      </c>
      <c r="FY10" s="46">
        <v>181</v>
      </c>
      <c r="FZ10" s="46">
        <v>182</v>
      </c>
      <c r="GA10" s="46">
        <v>183</v>
      </c>
      <c r="GB10" s="46">
        <v>184</v>
      </c>
      <c r="GC10" s="46">
        <v>185</v>
      </c>
      <c r="GD10" s="46">
        <v>186</v>
      </c>
      <c r="GE10" s="46">
        <v>187</v>
      </c>
      <c r="GF10" s="46">
        <v>188</v>
      </c>
      <c r="GG10" s="46">
        <v>189</v>
      </c>
      <c r="GH10" s="46">
        <v>190</v>
      </c>
      <c r="GI10" s="46">
        <v>191</v>
      </c>
      <c r="GJ10" s="46">
        <v>192</v>
      </c>
      <c r="GK10" s="46">
        <v>193</v>
      </c>
      <c r="GL10" s="46">
        <v>194</v>
      </c>
      <c r="GM10" s="46">
        <v>195</v>
      </c>
      <c r="GN10" s="46">
        <v>196</v>
      </c>
      <c r="GO10" s="46">
        <v>197</v>
      </c>
      <c r="GP10" s="46">
        <v>198</v>
      </c>
      <c r="GQ10" s="46">
        <v>199</v>
      </c>
      <c r="GR10" s="46">
        <v>200</v>
      </c>
      <c r="GS10" s="46">
        <v>201</v>
      </c>
      <c r="GT10" s="46">
        <v>202</v>
      </c>
      <c r="GU10" s="46">
        <v>203</v>
      </c>
      <c r="GV10" s="46">
        <v>204</v>
      </c>
      <c r="GW10" s="46">
        <v>205</v>
      </c>
      <c r="GX10" s="46">
        <v>206</v>
      </c>
      <c r="GY10" s="46">
        <v>207</v>
      </c>
      <c r="GZ10" s="46">
        <v>208</v>
      </c>
      <c r="HA10" s="46">
        <v>209</v>
      </c>
      <c r="HB10" s="46">
        <v>210</v>
      </c>
      <c r="HC10" s="46">
        <v>211</v>
      </c>
      <c r="HD10" s="46">
        <v>212</v>
      </c>
      <c r="HE10" s="46">
        <v>213</v>
      </c>
      <c r="HF10" s="46">
        <v>214</v>
      </c>
      <c r="HG10" s="46">
        <v>215</v>
      </c>
      <c r="HH10" s="46">
        <v>216</v>
      </c>
    </row>
    <row r="11" spans="1:216" ht="15.6" customHeight="1" x14ac:dyDescent="0.25">
      <c r="A11" s="69" t="s">
        <v>423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6"/>
      <c r="AR11" s="116"/>
      <c r="AS11" s="115"/>
      <c r="AT11" s="115"/>
      <c r="AU11" s="115"/>
      <c r="AV11" s="115"/>
      <c r="AW11" s="115"/>
      <c r="AX11" s="117"/>
      <c r="AY11" s="117"/>
      <c r="AZ11" s="117"/>
      <c r="BA11" s="117"/>
      <c r="BB11" s="117"/>
      <c r="BC11" s="117"/>
      <c r="BD11" s="117"/>
      <c r="BE11" s="117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8"/>
      <c r="BV11" s="119"/>
      <c r="BW11" s="119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</row>
    <row r="12" spans="1:216" s="89" customFormat="1" x14ac:dyDescent="0.25">
      <c r="A12" s="89">
        <v>-20</v>
      </c>
      <c r="B12" s="120">
        <v>2.9662500000000005</v>
      </c>
      <c r="C12" s="120">
        <v>2.1925000000000003</v>
      </c>
      <c r="D12" s="120">
        <v>4.0575000000000001</v>
      </c>
      <c r="E12" s="120">
        <v>2.2025000000000001</v>
      </c>
      <c r="F12" s="120">
        <v>5.5375000000000005</v>
      </c>
      <c r="G12" s="120">
        <v>2.2862499999999999</v>
      </c>
      <c r="H12" s="120">
        <v>6.9599999999999991</v>
      </c>
      <c r="I12" s="120">
        <v>2.0949999999999998</v>
      </c>
      <c r="J12" s="120">
        <v>8.4937499999999986</v>
      </c>
      <c r="K12" s="120">
        <v>2.105</v>
      </c>
      <c r="L12" s="120">
        <v>2.9087500000000004</v>
      </c>
      <c r="M12" s="120">
        <v>1.8837499999999998</v>
      </c>
      <c r="N12" s="120">
        <v>3.8687500000000004</v>
      </c>
      <c r="O12" s="120">
        <v>2.01125</v>
      </c>
      <c r="P12" s="120">
        <v>5.4700000000000006</v>
      </c>
      <c r="Q12" s="120">
        <v>1.9237499999999998</v>
      </c>
      <c r="R12" s="120">
        <v>6.902499999999999</v>
      </c>
      <c r="S12" s="120">
        <v>1.8162499999999997</v>
      </c>
      <c r="T12" s="120">
        <v>7.8587499999999988</v>
      </c>
      <c r="U12" s="120">
        <v>1.8162499999999997</v>
      </c>
      <c r="V12" s="120">
        <v>2.75</v>
      </c>
      <c r="W12" s="120">
        <v>1.4774999999999998</v>
      </c>
      <c r="X12" s="120">
        <v>3.42625</v>
      </c>
      <c r="Y12" s="120">
        <v>1.57125</v>
      </c>
      <c r="Z12" s="120">
        <v>4.5475000000000003</v>
      </c>
      <c r="AA12" s="120">
        <v>1.6150000000000002</v>
      </c>
      <c r="AB12" s="120">
        <v>6.46</v>
      </c>
      <c r="AC12" s="120">
        <v>1.4537500000000001</v>
      </c>
      <c r="AD12" s="120">
        <v>7.0075000000000003</v>
      </c>
      <c r="AE12" s="120">
        <v>1.4437500000000001</v>
      </c>
      <c r="AF12" s="121">
        <f t="shared" ref="AF12:AF15" si="0" xml:space="preserve"> -0.1655*A12^2 - 2.5574*A12 + 23.214</f>
        <v>8.1619999999999919</v>
      </c>
      <c r="AG12" s="121">
        <f t="shared" ref="AG12:AG15" si="1" xml:space="preserve"> -0.0011*A12^2 + 0.0522*A12 + 3.5733</f>
        <v>2.0893000000000002</v>
      </c>
      <c r="AH12" s="121">
        <f t="shared" ref="AH12:AH15" si="2" xml:space="preserve"> -0.1917*A12^2 - 2.9622*A12 + 26.95</f>
        <v>9.5139999999999922</v>
      </c>
      <c r="AI12" s="121">
        <f t="shared" ref="AI12:AI15" si="3" xml:space="preserve"> -0.0011*A12^2 + 0.0522*A12 + 3.6633</f>
        <v>2.1793</v>
      </c>
      <c r="AJ12" s="121">
        <f t="shared" ref="AJ12:AJ15" si="4" xml:space="preserve"> -0.2478*A12^2 - 3.8283*A12 + 34.859</f>
        <v>12.305000000000014</v>
      </c>
      <c r="AK12" s="121">
        <f t="shared" ref="AK12:AK15" si="5" xml:space="preserve"> -0.0011*A12^2 + 0.0522*A12 + 3.5433</f>
        <v>2.0592999999999999</v>
      </c>
      <c r="AL12" s="121">
        <f t="shared" ref="AL12:AL15" si="6" xml:space="preserve"> -0.1565*A12^2 - 2.3013*A12 + 21.136</f>
        <v>4.5619999999999941</v>
      </c>
      <c r="AM12" s="121">
        <f t="shared" ref="AM12:AM15" si="7" xml:space="preserve"> -0.0017*A12^2 + 0.0233*A12 + 2.825</f>
        <v>1.6790000000000003</v>
      </c>
      <c r="AN12" s="121">
        <f t="shared" ref="AN12:AN15" si="8" xml:space="preserve"> -0.1816*A12^2 - 2.6711*A12 + 24.51</f>
        <v>5.291999999999998</v>
      </c>
      <c r="AO12" s="121">
        <f t="shared" ref="AO12:AO15" si="9" xml:space="preserve"> -0.0017*A12^2 + 0.0233*A12 + 2.915</f>
        <v>1.7690000000000001</v>
      </c>
      <c r="AP12" s="121">
        <f t="shared" ref="AP12:AP15" si="10" xml:space="preserve"> -0.2349*A12^2 - 3.4559*A12 + 31.686</f>
        <v>6.8440000000000154</v>
      </c>
      <c r="AQ12" s="121">
        <f t="shared" ref="AQ12:AQ15" si="11" xml:space="preserve"> -0.0017*A12^2 + 0.0233*A12 + 2.795</f>
        <v>1.649</v>
      </c>
      <c r="AR12" s="121">
        <f t="shared" ref="AR12:AR15" si="12" xml:space="preserve"> -0.1878*A12^2 - 3.2436*A12 + 12.078</f>
        <v>1.8299999999999947</v>
      </c>
      <c r="AS12" s="121">
        <f t="shared" ref="AS12:AS15" si="13" xml:space="preserve"> -0.002*A12^2 + 0.0011*A12 + 2.1731</f>
        <v>1.3510999999999997</v>
      </c>
      <c r="AT12" s="121">
        <f t="shared" ref="AT12:AT15" si="14" xml:space="preserve"> -0.2181*A12^2 - 3.7667*A12 + 13.991</f>
        <v>2.085000000000008</v>
      </c>
      <c r="AU12" s="121">
        <f t="shared" ref="AU12:AU15" si="15" xml:space="preserve"> -0.002*A12^2 + 0.0011*A12 + 2.2631</f>
        <v>1.4411</v>
      </c>
      <c r="AV12" s="121">
        <f t="shared" ref="AV12:AV15" si="16" xml:space="preserve"> -0.282*A12^2 - 4.8693*A12 + 18.099</f>
        <v>2.6850000000000129</v>
      </c>
      <c r="AW12" s="121">
        <f t="shared" ref="AW12:AW15" si="17" xml:space="preserve"> -0.002*A12^2 + 0.0011*A12 + 2.1431</f>
        <v>1.3210999999999999</v>
      </c>
      <c r="AX12" s="122">
        <v>3.41</v>
      </c>
      <c r="AY12" s="122">
        <v>2.64</v>
      </c>
      <c r="AZ12" s="122">
        <v>3.98</v>
      </c>
      <c r="BA12" s="122">
        <v>2.38</v>
      </c>
      <c r="BB12" s="122">
        <v>5.32</v>
      </c>
      <c r="BC12" s="122">
        <v>2.29</v>
      </c>
      <c r="BD12" s="122">
        <v>8.94</v>
      </c>
      <c r="BE12" s="122">
        <v>2.61</v>
      </c>
      <c r="BF12" s="122">
        <v>3.29</v>
      </c>
      <c r="BG12" s="122">
        <v>2.29</v>
      </c>
      <c r="BH12" s="122">
        <v>4.05</v>
      </c>
      <c r="BI12" s="122">
        <v>2.11</v>
      </c>
      <c r="BJ12" s="122">
        <v>5.47</v>
      </c>
      <c r="BK12" s="122">
        <v>2.04</v>
      </c>
      <c r="BL12" s="122">
        <v>8.94</v>
      </c>
      <c r="BM12" s="122">
        <v>2.2000000000000002</v>
      </c>
      <c r="BN12" s="122">
        <v>3.17</v>
      </c>
      <c r="BO12" s="122">
        <v>1.99</v>
      </c>
      <c r="BP12" s="122">
        <v>4.1399999999999997</v>
      </c>
      <c r="BQ12" s="122">
        <v>1.88</v>
      </c>
      <c r="BR12" s="122">
        <v>5.64</v>
      </c>
      <c r="BS12" s="122">
        <v>1.84</v>
      </c>
      <c r="BT12" s="122">
        <v>8.89</v>
      </c>
      <c r="BU12" s="122">
        <v>1.9</v>
      </c>
      <c r="BV12" s="123">
        <f t="shared" ref="BV12:BV18" si="18">BV13</f>
        <v>22.9</v>
      </c>
      <c r="BW12" s="123">
        <f t="shared" ref="BW12:BW18" si="19">BW13</f>
        <v>5.31</v>
      </c>
      <c r="BX12" s="123">
        <f t="shared" ref="BX12:BX19" si="20">BX13</f>
        <v>23.1</v>
      </c>
      <c r="BY12" s="123">
        <f t="shared" ref="BY12:BY19" si="21">BY13</f>
        <v>4.21</v>
      </c>
      <c r="BZ12" s="123">
        <f t="shared" ref="BZ12:BZ19" si="22">BZ13</f>
        <v>23.3</v>
      </c>
      <c r="CA12" s="123">
        <f t="shared" ref="CA12:CA19" si="23">CA13</f>
        <v>3.44</v>
      </c>
      <c r="CB12" s="123">
        <f t="shared" ref="CB12:CB19" si="24">CB13</f>
        <v>28.9</v>
      </c>
      <c r="CC12" s="123">
        <f t="shared" ref="CC12:CC19" si="25">CC13</f>
        <v>5.34</v>
      </c>
      <c r="CD12" s="123">
        <f t="shared" ref="CD12:CD19" si="26">CD13</f>
        <v>29.1</v>
      </c>
      <c r="CE12" s="123">
        <f t="shared" ref="CE12:CE19" si="27">CE13</f>
        <v>4.22</v>
      </c>
      <c r="CF12" s="123">
        <f t="shared" ref="CF12:CF19" si="28">CF13</f>
        <v>29.3</v>
      </c>
      <c r="CG12" s="123">
        <f t="shared" ref="CG12:CG19" si="29">CG13</f>
        <v>3.37</v>
      </c>
      <c r="CH12" s="123">
        <f t="shared" ref="CH12:CH19" si="30">CH13</f>
        <v>38.700000000000003</v>
      </c>
      <c r="CI12" s="123">
        <f t="shared" ref="CI12:CI19" si="31">CI13</f>
        <v>4.8899999999999997</v>
      </c>
      <c r="CJ12" s="123">
        <f t="shared" ref="CJ12:CJ19" si="32">CJ13</f>
        <v>38.5</v>
      </c>
      <c r="CK12" s="123">
        <f t="shared" ref="CK12:CK19" si="33">CK13</f>
        <v>4.21</v>
      </c>
      <c r="CL12" s="123">
        <f t="shared" ref="CL12:CL19" si="34">CL13</f>
        <v>38.799999999999997</v>
      </c>
      <c r="CM12" s="123">
        <f t="shared" ref="CM12:CM19" si="35">CM13</f>
        <v>3.36</v>
      </c>
      <c r="CN12" s="123">
        <f t="shared" ref="CN12:CN19" si="36">CN13</f>
        <v>47.5</v>
      </c>
      <c r="CO12" s="123">
        <f t="shared" ref="CO12:CO19" si="37">CO13</f>
        <v>5.2</v>
      </c>
      <c r="CP12" s="123">
        <f t="shared" ref="CP12:CP19" si="38">CP13</f>
        <v>47</v>
      </c>
      <c r="CQ12" s="123">
        <f t="shared" ref="CQ12:CQ19" si="39">CQ13</f>
        <v>4.1900000000000004</v>
      </c>
      <c r="CR12" s="123">
        <f t="shared" ref="CR12:CR19" si="40">CR13</f>
        <v>47.7</v>
      </c>
      <c r="CS12" s="123">
        <f t="shared" ref="CS12:CS19" si="41">CS13</f>
        <v>3.46</v>
      </c>
      <c r="CT12" s="123">
        <f t="shared" ref="CT12:CT19" si="42">CT13</f>
        <v>54.9</v>
      </c>
      <c r="CU12" s="123">
        <f t="shared" ref="CU12:CU19" si="43">CU13</f>
        <v>5.2</v>
      </c>
      <c r="CV12" s="123">
        <f t="shared" ref="CV12:CV19" si="44">CV13</f>
        <v>56.2</v>
      </c>
      <c r="CW12" s="123">
        <f t="shared" ref="CW12:CW19" si="45">CW13</f>
        <v>4.1900000000000004</v>
      </c>
      <c r="CX12" s="123">
        <f t="shared" ref="CX12:CX19" si="46">CX13</f>
        <v>57.2</v>
      </c>
      <c r="CY12" s="123">
        <f t="shared" ref="CY12:CY19" si="47">CY13</f>
        <v>3.46</v>
      </c>
      <c r="CZ12" s="123">
        <f t="shared" ref="CZ12:CZ19" si="48">CZ13</f>
        <v>64</v>
      </c>
      <c r="DA12" s="123">
        <f t="shared" ref="DA12:DA19" si="49">DA13</f>
        <v>5.25</v>
      </c>
      <c r="DB12" s="123">
        <f t="shared" ref="DB12:DB19" si="50">DB13</f>
        <v>64.7</v>
      </c>
      <c r="DC12" s="123">
        <f t="shared" ref="DC12:DC19" si="51">DC13</f>
        <v>4.17</v>
      </c>
      <c r="DD12" s="123">
        <f t="shared" ref="DD12:DD19" si="52">DD13</f>
        <v>64</v>
      </c>
      <c r="DE12" s="123">
        <f t="shared" ref="DE12:DE19" si="53">DE13</f>
        <v>3.26</v>
      </c>
      <c r="DF12" s="123">
        <f t="shared" ref="DF12:DF19" si="54">DF13</f>
        <v>72.8</v>
      </c>
      <c r="DG12" s="123">
        <f t="shared" ref="DG12:DG19" si="55">DG13</f>
        <v>5.01</v>
      </c>
      <c r="DH12" s="123">
        <f t="shared" ref="DH12:DH19" si="56">DH13</f>
        <v>74.099999999999994</v>
      </c>
      <c r="DI12" s="123">
        <f t="shared" ref="DI12:DI19" si="57">DI13</f>
        <v>4.05</v>
      </c>
      <c r="DJ12" s="123">
        <f t="shared" ref="DJ12:DJ19" si="58">DJ13</f>
        <v>73.900000000000006</v>
      </c>
      <c r="DK12" s="123">
        <f t="shared" ref="DK12:DK19" si="59">DK13</f>
        <v>3.34</v>
      </c>
      <c r="DL12" s="123">
        <f t="shared" ref="DL12:DL19" si="60">DL13</f>
        <v>78.3</v>
      </c>
      <c r="DM12" s="123">
        <f t="shared" ref="DM12:DM19" si="61">DM13</f>
        <v>5.0599999999999996</v>
      </c>
      <c r="DN12" s="123">
        <f t="shared" ref="DN12:DN19" si="62">DN13</f>
        <v>80.3</v>
      </c>
      <c r="DO12" s="123">
        <f t="shared" ref="DO12:DO19" si="63">DO13</f>
        <v>4.16</v>
      </c>
      <c r="DP12" s="123">
        <f t="shared" ref="DP12:DP19" si="64">DP13</f>
        <v>81.099999999999994</v>
      </c>
      <c r="DQ12" s="123">
        <f t="shared" ref="DQ12:DQ19" si="65">DQ13</f>
        <v>3.49</v>
      </c>
      <c r="DR12" s="124">
        <f t="shared" ref="DR12:DR19" si="66">DR13</f>
        <v>44.6</v>
      </c>
      <c r="DS12" s="124">
        <f t="shared" ref="DS12:DS19" si="67">DS13</f>
        <v>4.5</v>
      </c>
      <c r="DT12" s="124">
        <f t="shared" ref="DT12:DT19" si="68">DT13</f>
        <v>42.8</v>
      </c>
      <c r="DU12" s="124">
        <f t="shared" ref="DU12:DU19" si="69">DU13</f>
        <v>3.5</v>
      </c>
      <c r="DV12" s="124">
        <f t="shared" ref="DV12:DV19" si="70">DV13</f>
        <v>41</v>
      </c>
      <c r="DW12" s="124">
        <f t="shared" ref="DW12:DW19" si="71">DW13</f>
        <v>2.9</v>
      </c>
      <c r="DX12" s="124">
        <f t="shared" ref="DX12:DX19" si="72">DX13</f>
        <v>59.6</v>
      </c>
      <c r="DY12" s="124">
        <f t="shared" ref="DY12:DY19" si="73">DY13</f>
        <v>4.8</v>
      </c>
      <c r="DZ12" s="124">
        <f t="shared" ref="DZ12:DZ19" si="74">DZ13</f>
        <v>56.8</v>
      </c>
      <c r="EA12" s="124">
        <f t="shared" ref="EA12:EA19" si="75">EA13</f>
        <v>3.8</v>
      </c>
      <c r="EB12" s="124">
        <f t="shared" ref="EB12:EB19" si="76">EB13</f>
        <v>54</v>
      </c>
      <c r="EC12" s="124">
        <f t="shared" ref="EC12:EC19" si="77">EC13</f>
        <v>2.9</v>
      </c>
      <c r="ED12" s="124">
        <f t="shared" ref="ED12:ED19" si="78">ED13</f>
        <v>86.7</v>
      </c>
      <c r="EE12" s="124">
        <f t="shared" ref="EE12:EE19" si="79">EE13</f>
        <v>4.8</v>
      </c>
      <c r="EF12" s="124">
        <f t="shared" ref="EF12:EF19" si="80">EF13</f>
        <v>83.35</v>
      </c>
      <c r="EG12" s="124">
        <f t="shared" ref="EG12:EG19" si="81">EG13</f>
        <v>3.7</v>
      </c>
      <c r="EH12" s="124">
        <f t="shared" ref="EH12:EH19" si="82">EH13</f>
        <v>80</v>
      </c>
      <c r="EI12" s="124">
        <f t="shared" ref="EI12:EI19" si="83">EI13</f>
        <v>2.9</v>
      </c>
      <c r="EJ12" s="102">
        <v>5.8</v>
      </c>
      <c r="EK12" s="102">
        <v>4.4000000000000004</v>
      </c>
      <c r="EL12" s="102">
        <v>5.5</v>
      </c>
      <c r="EM12" s="102">
        <v>3.4</v>
      </c>
      <c r="EN12" s="102">
        <v>5.3</v>
      </c>
      <c r="EO12" s="102">
        <v>2.7</v>
      </c>
      <c r="EP12" s="102">
        <v>7.6</v>
      </c>
      <c r="EQ12" s="102">
        <v>4.7</v>
      </c>
      <c r="ER12" s="102">
        <v>7.3</v>
      </c>
      <c r="ES12" s="102">
        <v>3.6</v>
      </c>
      <c r="ET12" s="102">
        <v>6.9</v>
      </c>
      <c r="EU12" s="102">
        <v>2.8</v>
      </c>
      <c r="EV12" s="102">
        <v>10.4</v>
      </c>
      <c r="EW12" s="102">
        <v>4.8</v>
      </c>
      <c r="EX12" s="102">
        <v>10</v>
      </c>
      <c r="EY12" s="102">
        <v>3.8</v>
      </c>
      <c r="EZ12" s="102">
        <v>9.4</v>
      </c>
      <c r="FA12" s="102">
        <v>2.8</v>
      </c>
      <c r="FB12" s="102">
        <v>13.3</v>
      </c>
      <c r="FC12" s="102">
        <v>4.8</v>
      </c>
      <c r="FD12" s="102">
        <v>12.8</v>
      </c>
      <c r="FE12" s="102">
        <v>3.8</v>
      </c>
      <c r="FF12" s="102">
        <v>12.1</v>
      </c>
      <c r="FG12" s="102">
        <v>2.9</v>
      </c>
      <c r="FH12" s="102">
        <v>17</v>
      </c>
      <c r="FI12" s="102">
        <v>4.7</v>
      </c>
      <c r="FJ12" s="102">
        <v>16.100000000000001</v>
      </c>
      <c r="FK12" s="102">
        <v>3.6</v>
      </c>
      <c r="FL12" s="102">
        <v>15.2</v>
      </c>
      <c r="FM12" s="102">
        <v>2.8</v>
      </c>
    </row>
    <row r="13" spans="1:216" s="89" customFormat="1" x14ac:dyDescent="0.25">
      <c r="A13" s="89">
        <v>-19</v>
      </c>
      <c r="B13" s="120">
        <v>3.085</v>
      </c>
      <c r="C13" s="120">
        <v>2.2400000000000002</v>
      </c>
      <c r="D13" s="120">
        <v>4.2200000000000006</v>
      </c>
      <c r="E13" s="120">
        <v>2.25</v>
      </c>
      <c r="F13" s="120">
        <v>5.7600000000000007</v>
      </c>
      <c r="G13" s="120">
        <v>2.335</v>
      </c>
      <c r="H13" s="120">
        <v>7.2399999999999993</v>
      </c>
      <c r="I13" s="120">
        <v>2.1399999999999997</v>
      </c>
      <c r="J13" s="120">
        <v>8.8349999999999991</v>
      </c>
      <c r="K13" s="120">
        <v>2.1500000000000004</v>
      </c>
      <c r="L13" s="120">
        <v>3.0250000000000004</v>
      </c>
      <c r="M13" s="120">
        <v>1.9249999999999998</v>
      </c>
      <c r="N13" s="120">
        <v>4.0250000000000004</v>
      </c>
      <c r="O13" s="120">
        <v>2.0549999999999997</v>
      </c>
      <c r="P13" s="120">
        <v>5.69</v>
      </c>
      <c r="Q13" s="120">
        <v>1.9649999999999999</v>
      </c>
      <c r="R13" s="120">
        <v>7.1799999999999988</v>
      </c>
      <c r="S13" s="120">
        <v>1.8549999999999998</v>
      </c>
      <c r="T13" s="120">
        <v>8.1749999999999989</v>
      </c>
      <c r="U13" s="120">
        <v>1.8549999999999998</v>
      </c>
      <c r="V13" s="120">
        <v>2.86</v>
      </c>
      <c r="W13" s="120">
        <v>1.5099999999999998</v>
      </c>
      <c r="X13" s="120">
        <v>3.5649999999999999</v>
      </c>
      <c r="Y13" s="120">
        <v>1.605</v>
      </c>
      <c r="Z13" s="120">
        <v>4.7300000000000004</v>
      </c>
      <c r="AA13" s="120">
        <v>1.6500000000000001</v>
      </c>
      <c r="AB13" s="120">
        <v>6.72</v>
      </c>
      <c r="AC13" s="120">
        <v>1.4850000000000001</v>
      </c>
      <c r="AD13" s="120">
        <v>7.29</v>
      </c>
      <c r="AE13" s="120">
        <v>1.4750000000000001</v>
      </c>
      <c r="AF13" s="121">
        <f t="shared" si="0"/>
        <v>12.059099999999994</v>
      </c>
      <c r="AG13" s="121">
        <f t="shared" si="1"/>
        <v>2.1844000000000001</v>
      </c>
      <c r="AH13" s="121">
        <f t="shared" si="2"/>
        <v>14.028100000000006</v>
      </c>
      <c r="AI13" s="121">
        <f t="shared" si="3"/>
        <v>2.2744</v>
      </c>
      <c r="AJ13" s="121">
        <f t="shared" si="4"/>
        <v>18.140900000000009</v>
      </c>
      <c r="AK13" s="121">
        <f t="shared" si="5"/>
        <v>2.1543999999999999</v>
      </c>
      <c r="AL13" s="121">
        <f t="shared" si="6"/>
        <v>8.3642000000000003</v>
      </c>
      <c r="AM13" s="121">
        <f t="shared" si="7"/>
        <v>1.7686000000000002</v>
      </c>
      <c r="AN13" s="121">
        <f t="shared" si="8"/>
        <v>9.7032999999999952</v>
      </c>
      <c r="AO13" s="121">
        <f t="shared" si="9"/>
        <v>1.8586</v>
      </c>
      <c r="AP13" s="121">
        <f t="shared" si="10"/>
        <v>12.549200000000006</v>
      </c>
      <c r="AQ13" s="121">
        <f t="shared" si="11"/>
        <v>1.7385999999999999</v>
      </c>
      <c r="AR13" s="121">
        <f t="shared" si="12"/>
        <v>5.9105999999999987</v>
      </c>
      <c r="AS13" s="121">
        <f t="shared" si="13"/>
        <v>1.4301999999999997</v>
      </c>
      <c r="AT13" s="121">
        <f t="shared" si="14"/>
        <v>6.8242000000000047</v>
      </c>
      <c r="AU13" s="121">
        <f t="shared" si="15"/>
        <v>1.5202</v>
      </c>
      <c r="AV13" s="121">
        <f t="shared" si="16"/>
        <v>8.8137000000000079</v>
      </c>
      <c r="AW13" s="121">
        <f t="shared" si="17"/>
        <v>1.4001999999999999</v>
      </c>
      <c r="AX13" s="122">
        <f>(AX$17-AX$12)/5+AX12</f>
        <v>3.52</v>
      </c>
      <c r="AY13" s="122">
        <f t="shared" ref="AY13:BU16" si="84">(AY$17-AY$12)/5+AY12</f>
        <v>2.69</v>
      </c>
      <c r="AZ13" s="122">
        <f t="shared" si="84"/>
        <v>4.1079999999999997</v>
      </c>
      <c r="BA13" s="122">
        <f t="shared" si="84"/>
        <v>2.4279999999999999</v>
      </c>
      <c r="BB13" s="122">
        <f t="shared" si="84"/>
        <v>5.4720000000000004</v>
      </c>
      <c r="BC13" s="122">
        <f t="shared" si="84"/>
        <v>2.3359999999999999</v>
      </c>
      <c r="BD13" s="122">
        <f t="shared" si="84"/>
        <v>9.2119999999999997</v>
      </c>
      <c r="BE13" s="122">
        <f t="shared" si="84"/>
        <v>2.6599999999999997</v>
      </c>
      <c r="BF13" s="122">
        <f t="shared" si="84"/>
        <v>3.3959999999999999</v>
      </c>
      <c r="BG13" s="122">
        <f t="shared" si="84"/>
        <v>2.3340000000000001</v>
      </c>
      <c r="BH13" s="122">
        <f t="shared" si="84"/>
        <v>4.17</v>
      </c>
      <c r="BI13" s="122">
        <f t="shared" si="84"/>
        <v>2.1439999999999997</v>
      </c>
      <c r="BJ13" s="122">
        <f t="shared" si="84"/>
        <v>5.6099999999999994</v>
      </c>
      <c r="BK13" s="122">
        <f t="shared" si="84"/>
        <v>2.0720000000000001</v>
      </c>
      <c r="BL13" s="122">
        <f t="shared" si="84"/>
        <v>9.1939999999999991</v>
      </c>
      <c r="BM13" s="122">
        <f t="shared" si="84"/>
        <v>2.2400000000000002</v>
      </c>
      <c r="BN13" s="122">
        <f t="shared" si="84"/>
        <v>3.274</v>
      </c>
      <c r="BO13" s="122">
        <f t="shared" si="84"/>
        <v>2.0259999999999998</v>
      </c>
      <c r="BP13" s="122">
        <f t="shared" si="84"/>
        <v>4.2459999999999996</v>
      </c>
      <c r="BQ13" s="122">
        <f t="shared" si="84"/>
        <v>1.9</v>
      </c>
      <c r="BR13" s="122">
        <f t="shared" si="84"/>
        <v>5.76</v>
      </c>
      <c r="BS13" s="122">
        <f t="shared" si="84"/>
        <v>1.86</v>
      </c>
      <c r="BT13" s="122">
        <f t="shared" si="84"/>
        <v>9.1219999999999999</v>
      </c>
      <c r="BU13" s="122">
        <f t="shared" si="84"/>
        <v>1.93</v>
      </c>
      <c r="BV13" s="123">
        <f t="shared" si="18"/>
        <v>22.9</v>
      </c>
      <c r="BW13" s="123">
        <f t="shared" si="19"/>
        <v>5.31</v>
      </c>
      <c r="BX13" s="123">
        <f t="shared" si="20"/>
        <v>23.1</v>
      </c>
      <c r="BY13" s="123">
        <f t="shared" si="21"/>
        <v>4.21</v>
      </c>
      <c r="BZ13" s="123">
        <f t="shared" si="22"/>
        <v>23.3</v>
      </c>
      <c r="CA13" s="123">
        <f t="shared" si="23"/>
        <v>3.44</v>
      </c>
      <c r="CB13" s="123">
        <f t="shared" si="24"/>
        <v>28.9</v>
      </c>
      <c r="CC13" s="123">
        <f t="shared" si="25"/>
        <v>5.34</v>
      </c>
      <c r="CD13" s="123">
        <f t="shared" si="26"/>
        <v>29.1</v>
      </c>
      <c r="CE13" s="123">
        <f t="shared" si="27"/>
        <v>4.22</v>
      </c>
      <c r="CF13" s="123">
        <f t="shared" si="28"/>
        <v>29.3</v>
      </c>
      <c r="CG13" s="123">
        <f t="shared" si="29"/>
        <v>3.37</v>
      </c>
      <c r="CH13" s="123">
        <f t="shared" si="30"/>
        <v>38.700000000000003</v>
      </c>
      <c r="CI13" s="123">
        <f t="shared" si="31"/>
        <v>4.8899999999999997</v>
      </c>
      <c r="CJ13" s="123">
        <f t="shared" si="32"/>
        <v>38.5</v>
      </c>
      <c r="CK13" s="123">
        <f t="shared" si="33"/>
        <v>4.21</v>
      </c>
      <c r="CL13" s="123">
        <f t="shared" si="34"/>
        <v>38.799999999999997</v>
      </c>
      <c r="CM13" s="123">
        <f t="shared" si="35"/>
        <v>3.36</v>
      </c>
      <c r="CN13" s="123">
        <f t="shared" si="36"/>
        <v>47.5</v>
      </c>
      <c r="CO13" s="123">
        <f t="shared" si="37"/>
        <v>5.2</v>
      </c>
      <c r="CP13" s="123">
        <f t="shared" si="38"/>
        <v>47</v>
      </c>
      <c r="CQ13" s="123">
        <f t="shared" si="39"/>
        <v>4.1900000000000004</v>
      </c>
      <c r="CR13" s="123">
        <f t="shared" si="40"/>
        <v>47.7</v>
      </c>
      <c r="CS13" s="123">
        <f t="shared" si="41"/>
        <v>3.46</v>
      </c>
      <c r="CT13" s="123">
        <f t="shared" si="42"/>
        <v>54.9</v>
      </c>
      <c r="CU13" s="123">
        <f t="shared" si="43"/>
        <v>5.2</v>
      </c>
      <c r="CV13" s="123">
        <f t="shared" si="44"/>
        <v>56.2</v>
      </c>
      <c r="CW13" s="123">
        <f t="shared" si="45"/>
        <v>4.1900000000000004</v>
      </c>
      <c r="CX13" s="123">
        <f t="shared" si="46"/>
        <v>57.2</v>
      </c>
      <c r="CY13" s="123">
        <f t="shared" si="47"/>
        <v>3.46</v>
      </c>
      <c r="CZ13" s="123">
        <f t="shared" si="48"/>
        <v>64</v>
      </c>
      <c r="DA13" s="123">
        <f t="shared" si="49"/>
        <v>5.25</v>
      </c>
      <c r="DB13" s="123">
        <f t="shared" si="50"/>
        <v>64.7</v>
      </c>
      <c r="DC13" s="123">
        <f t="shared" si="51"/>
        <v>4.17</v>
      </c>
      <c r="DD13" s="123">
        <f t="shared" si="52"/>
        <v>64</v>
      </c>
      <c r="DE13" s="123">
        <f t="shared" si="53"/>
        <v>3.26</v>
      </c>
      <c r="DF13" s="123">
        <f t="shared" si="54"/>
        <v>72.8</v>
      </c>
      <c r="DG13" s="123">
        <f t="shared" si="55"/>
        <v>5.01</v>
      </c>
      <c r="DH13" s="123">
        <f t="shared" si="56"/>
        <v>74.099999999999994</v>
      </c>
      <c r="DI13" s="123">
        <f t="shared" si="57"/>
        <v>4.05</v>
      </c>
      <c r="DJ13" s="123">
        <f t="shared" si="58"/>
        <v>73.900000000000006</v>
      </c>
      <c r="DK13" s="123">
        <f t="shared" si="59"/>
        <v>3.34</v>
      </c>
      <c r="DL13" s="123">
        <f t="shared" si="60"/>
        <v>78.3</v>
      </c>
      <c r="DM13" s="123">
        <f t="shared" si="61"/>
        <v>5.0599999999999996</v>
      </c>
      <c r="DN13" s="123">
        <f t="shared" si="62"/>
        <v>80.3</v>
      </c>
      <c r="DO13" s="123">
        <f t="shared" si="63"/>
        <v>4.16</v>
      </c>
      <c r="DP13" s="123">
        <f t="shared" si="64"/>
        <v>81.099999999999994</v>
      </c>
      <c r="DQ13" s="123">
        <f t="shared" si="65"/>
        <v>3.49</v>
      </c>
      <c r="DR13" s="124">
        <f t="shared" si="66"/>
        <v>44.6</v>
      </c>
      <c r="DS13" s="124">
        <f t="shared" si="67"/>
        <v>4.5</v>
      </c>
      <c r="DT13" s="124">
        <f t="shared" si="68"/>
        <v>42.8</v>
      </c>
      <c r="DU13" s="124">
        <f t="shared" si="69"/>
        <v>3.5</v>
      </c>
      <c r="DV13" s="124">
        <f t="shared" si="70"/>
        <v>41</v>
      </c>
      <c r="DW13" s="124">
        <f t="shared" si="71"/>
        <v>2.9</v>
      </c>
      <c r="DX13" s="124">
        <f t="shared" si="72"/>
        <v>59.6</v>
      </c>
      <c r="DY13" s="124">
        <f t="shared" si="73"/>
        <v>4.8</v>
      </c>
      <c r="DZ13" s="124">
        <f t="shared" si="74"/>
        <v>56.8</v>
      </c>
      <c r="EA13" s="124">
        <f t="shared" si="75"/>
        <v>3.8</v>
      </c>
      <c r="EB13" s="124">
        <f t="shared" si="76"/>
        <v>54</v>
      </c>
      <c r="EC13" s="124">
        <f t="shared" si="77"/>
        <v>2.9</v>
      </c>
      <c r="ED13" s="124">
        <f t="shared" si="78"/>
        <v>86.7</v>
      </c>
      <c r="EE13" s="124">
        <f t="shared" si="79"/>
        <v>4.8</v>
      </c>
      <c r="EF13" s="124">
        <f t="shared" si="80"/>
        <v>83.35</v>
      </c>
      <c r="EG13" s="124">
        <f t="shared" si="81"/>
        <v>3.7</v>
      </c>
      <c r="EH13" s="124">
        <f t="shared" si="82"/>
        <v>80</v>
      </c>
      <c r="EI13" s="124">
        <f t="shared" si="83"/>
        <v>2.9</v>
      </c>
      <c r="EJ13" s="102">
        <v>5.8</v>
      </c>
      <c r="EK13" s="102">
        <v>4.4000000000000004</v>
      </c>
      <c r="EL13" s="102">
        <v>5.5</v>
      </c>
      <c r="EM13" s="102">
        <v>3.4</v>
      </c>
      <c r="EN13" s="102">
        <v>5.3</v>
      </c>
      <c r="EO13" s="102">
        <v>2.7</v>
      </c>
      <c r="EP13" s="102">
        <v>7.6</v>
      </c>
      <c r="EQ13" s="102">
        <v>4.7</v>
      </c>
      <c r="ER13" s="102">
        <v>7.3</v>
      </c>
      <c r="ES13" s="102">
        <v>3.6</v>
      </c>
      <c r="ET13" s="102">
        <v>6.9</v>
      </c>
      <c r="EU13" s="102">
        <v>2.8</v>
      </c>
      <c r="EV13" s="102">
        <v>10.4</v>
      </c>
      <c r="EW13" s="102">
        <v>4.8</v>
      </c>
      <c r="EX13" s="102">
        <v>10</v>
      </c>
      <c r="EY13" s="102">
        <v>3.8</v>
      </c>
      <c r="EZ13" s="102">
        <v>9.4</v>
      </c>
      <c r="FA13" s="102">
        <v>2.8</v>
      </c>
      <c r="FB13" s="102">
        <v>13.3</v>
      </c>
      <c r="FC13" s="102">
        <v>4.8</v>
      </c>
      <c r="FD13" s="102">
        <v>12.8</v>
      </c>
      <c r="FE13" s="102">
        <v>3.8</v>
      </c>
      <c r="FF13" s="102">
        <v>12.1</v>
      </c>
      <c r="FG13" s="102">
        <v>2.9</v>
      </c>
      <c r="FH13" s="102">
        <v>17</v>
      </c>
      <c r="FI13" s="102">
        <v>4.7</v>
      </c>
      <c r="FJ13" s="102">
        <v>16.100000000000001</v>
      </c>
      <c r="FK13" s="102">
        <v>3.6</v>
      </c>
      <c r="FL13" s="102">
        <v>15.2</v>
      </c>
      <c r="FM13" s="102">
        <v>2.8</v>
      </c>
    </row>
    <row r="14" spans="1:216" s="89" customFormat="1" x14ac:dyDescent="0.25">
      <c r="A14" s="89">
        <v>-18</v>
      </c>
      <c r="B14" s="120">
        <v>3.2037500000000003</v>
      </c>
      <c r="C14" s="120">
        <v>2.2875000000000001</v>
      </c>
      <c r="D14" s="120">
        <v>4.3825000000000003</v>
      </c>
      <c r="E14" s="120">
        <v>2.2974999999999999</v>
      </c>
      <c r="F14" s="120">
        <v>5.9825000000000008</v>
      </c>
      <c r="G14" s="120">
        <v>2.3837499999999996</v>
      </c>
      <c r="H14" s="120">
        <v>7.52</v>
      </c>
      <c r="I14" s="120">
        <v>2.1849999999999996</v>
      </c>
      <c r="J14" s="120">
        <v>9.1762499999999996</v>
      </c>
      <c r="K14" s="120">
        <v>2.1950000000000003</v>
      </c>
      <c r="L14" s="120">
        <v>3.1412500000000003</v>
      </c>
      <c r="M14" s="120">
        <v>1.9662499999999998</v>
      </c>
      <c r="N14" s="120">
        <v>4.1812500000000004</v>
      </c>
      <c r="O14" s="120">
        <v>2.0987499999999999</v>
      </c>
      <c r="P14" s="120">
        <v>5.91</v>
      </c>
      <c r="Q14" s="120">
        <v>2.0062499999999996</v>
      </c>
      <c r="R14" s="120">
        <v>7.4574999999999987</v>
      </c>
      <c r="S14" s="120">
        <v>1.8937499999999998</v>
      </c>
      <c r="T14" s="120">
        <v>8.4912499999999991</v>
      </c>
      <c r="U14" s="120">
        <v>1.8937499999999998</v>
      </c>
      <c r="V14" s="120">
        <v>2.9699999999999998</v>
      </c>
      <c r="W14" s="120">
        <v>1.5425</v>
      </c>
      <c r="X14" s="120">
        <v>3.7037499999999999</v>
      </c>
      <c r="Y14" s="120">
        <v>1.6387500000000002</v>
      </c>
      <c r="Z14" s="120">
        <v>4.9124999999999996</v>
      </c>
      <c r="AA14" s="120">
        <v>1.6850000000000001</v>
      </c>
      <c r="AB14" s="120">
        <v>6.9799999999999995</v>
      </c>
      <c r="AC14" s="120">
        <v>1.5162500000000001</v>
      </c>
      <c r="AD14" s="120">
        <v>7.5724999999999998</v>
      </c>
      <c r="AE14" s="120">
        <v>1.5062500000000001</v>
      </c>
      <c r="AF14" s="121">
        <f t="shared" si="0"/>
        <v>15.6252</v>
      </c>
      <c r="AG14" s="121">
        <f t="shared" si="1"/>
        <v>2.2773000000000003</v>
      </c>
      <c r="AH14" s="121">
        <f t="shared" si="2"/>
        <v>18.158799999999996</v>
      </c>
      <c r="AI14" s="121">
        <f t="shared" si="3"/>
        <v>2.3673000000000002</v>
      </c>
      <c r="AJ14" s="121">
        <f t="shared" si="4"/>
        <v>23.481200000000008</v>
      </c>
      <c r="AK14" s="121">
        <f t="shared" si="5"/>
        <v>2.2473000000000001</v>
      </c>
      <c r="AL14" s="121">
        <f t="shared" si="6"/>
        <v>11.853399999999997</v>
      </c>
      <c r="AM14" s="121">
        <f t="shared" si="7"/>
        <v>1.8548000000000002</v>
      </c>
      <c r="AN14" s="121">
        <f t="shared" si="8"/>
        <v>13.751399999999993</v>
      </c>
      <c r="AO14" s="121">
        <f t="shared" si="9"/>
        <v>1.9448000000000001</v>
      </c>
      <c r="AP14" s="121">
        <f t="shared" si="10"/>
        <v>17.784599999999998</v>
      </c>
      <c r="AQ14" s="121">
        <f t="shared" si="11"/>
        <v>1.8248</v>
      </c>
      <c r="AR14" s="121">
        <f t="shared" si="12"/>
        <v>9.615599999999997</v>
      </c>
      <c r="AS14" s="121">
        <f t="shared" si="13"/>
        <v>1.5052999999999996</v>
      </c>
      <c r="AT14" s="121">
        <f t="shared" si="14"/>
        <v>11.127200000000002</v>
      </c>
      <c r="AU14" s="121">
        <f t="shared" si="15"/>
        <v>1.5952999999999999</v>
      </c>
      <c r="AV14" s="121">
        <f t="shared" si="16"/>
        <v>14.37840000000001</v>
      </c>
      <c r="AW14" s="121">
        <f t="shared" si="17"/>
        <v>1.4752999999999998</v>
      </c>
      <c r="AX14" s="122">
        <f t="shared" ref="AX14:AX16" si="85">(AX$17-AX$12)/5+AX13</f>
        <v>3.63</v>
      </c>
      <c r="AY14" s="122">
        <f t="shared" si="84"/>
        <v>2.7399999999999998</v>
      </c>
      <c r="AZ14" s="122">
        <f t="shared" si="84"/>
        <v>4.2359999999999998</v>
      </c>
      <c r="BA14" s="122">
        <f t="shared" si="84"/>
        <v>2.476</v>
      </c>
      <c r="BB14" s="122">
        <f t="shared" si="84"/>
        <v>5.6240000000000006</v>
      </c>
      <c r="BC14" s="122">
        <f t="shared" si="84"/>
        <v>2.3819999999999997</v>
      </c>
      <c r="BD14" s="122">
        <f t="shared" si="84"/>
        <v>9.484</v>
      </c>
      <c r="BE14" s="122">
        <f t="shared" si="84"/>
        <v>2.7099999999999995</v>
      </c>
      <c r="BF14" s="122">
        <f t="shared" si="84"/>
        <v>3.5019999999999998</v>
      </c>
      <c r="BG14" s="122">
        <f t="shared" si="84"/>
        <v>2.3780000000000001</v>
      </c>
      <c r="BH14" s="122">
        <f t="shared" si="84"/>
        <v>4.29</v>
      </c>
      <c r="BI14" s="122">
        <f t="shared" si="84"/>
        <v>2.1779999999999995</v>
      </c>
      <c r="BJ14" s="122">
        <f t="shared" si="84"/>
        <v>5.7499999999999991</v>
      </c>
      <c r="BK14" s="122">
        <f t="shared" si="84"/>
        <v>2.1040000000000001</v>
      </c>
      <c r="BL14" s="122">
        <f t="shared" si="84"/>
        <v>9.4479999999999986</v>
      </c>
      <c r="BM14" s="122">
        <f t="shared" si="84"/>
        <v>2.2800000000000002</v>
      </c>
      <c r="BN14" s="122">
        <f t="shared" si="84"/>
        <v>3.3780000000000001</v>
      </c>
      <c r="BO14" s="122">
        <f t="shared" si="84"/>
        <v>2.0619999999999998</v>
      </c>
      <c r="BP14" s="122">
        <f t="shared" si="84"/>
        <v>4.3519999999999994</v>
      </c>
      <c r="BQ14" s="122">
        <f t="shared" si="84"/>
        <v>1.92</v>
      </c>
      <c r="BR14" s="122">
        <f t="shared" si="84"/>
        <v>5.88</v>
      </c>
      <c r="BS14" s="122">
        <f t="shared" si="84"/>
        <v>1.8800000000000001</v>
      </c>
      <c r="BT14" s="122">
        <f t="shared" si="84"/>
        <v>9.3539999999999992</v>
      </c>
      <c r="BU14" s="122">
        <f t="shared" si="84"/>
        <v>1.96</v>
      </c>
      <c r="BV14" s="123">
        <f t="shared" si="18"/>
        <v>22.9</v>
      </c>
      <c r="BW14" s="123">
        <f t="shared" si="19"/>
        <v>5.31</v>
      </c>
      <c r="BX14" s="123">
        <f t="shared" si="20"/>
        <v>23.1</v>
      </c>
      <c r="BY14" s="123">
        <f t="shared" si="21"/>
        <v>4.21</v>
      </c>
      <c r="BZ14" s="123">
        <f t="shared" si="22"/>
        <v>23.3</v>
      </c>
      <c r="CA14" s="123">
        <f t="shared" si="23"/>
        <v>3.44</v>
      </c>
      <c r="CB14" s="123">
        <f t="shared" si="24"/>
        <v>28.9</v>
      </c>
      <c r="CC14" s="123">
        <f t="shared" si="25"/>
        <v>5.34</v>
      </c>
      <c r="CD14" s="123">
        <f t="shared" si="26"/>
        <v>29.1</v>
      </c>
      <c r="CE14" s="123">
        <f t="shared" si="27"/>
        <v>4.22</v>
      </c>
      <c r="CF14" s="123">
        <f t="shared" si="28"/>
        <v>29.3</v>
      </c>
      <c r="CG14" s="123">
        <f t="shared" si="29"/>
        <v>3.37</v>
      </c>
      <c r="CH14" s="123">
        <f t="shared" si="30"/>
        <v>38.700000000000003</v>
      </c>
      <c r="CI14" s="123">
        <f t="shared" si="31"/>
        <v>4.8899999999999997</v>
      </c>
      <c r="CJ14" s="123">
        <f t="shared" si="32"/>
        <v>38.5</v>
      </c>
      <c r="CK14" s="123">
        <f t="shared" si="33"/>
        <v>4.21</v>
      </c>
      <c r="CL14" s="123">
        <f t="shared" si="34"/>
        <v>38.799999999999997</v>
      </c>
      <c r="CM14" s="123">
        <f t="shared" si="35"/>
        <v>3.36</v>
      </c>
      <c r="CN14" s="123">
        <f t="shared" si="36"/>
        <v>47.5</v>
      </c>
      <c r="CO14" s="123">
        <f t="shared" si="37"/>
        <v>5.2</v>
      </c>
      <c r="CP14" s="123">
        <f t="shared" si="38"/>
        <v>47</v>
      </c>
      <c r="CQ14" s="123">
        <f t="shared" si="39"/>
        <v>4.1900000000000004</v>
      </c>
      <c r="CR14" s="123">
        <f t="shared" si="40"/>
        <v>47.7</v>
      </c>
      <c r="CS14" s="123">
        <f t="shared" si="41"/>
        <v>3.46</v>
      </c>
      <c r="CT14" s="123">
        <f t="shared" si="42"/>
        <v>54.9</v>
      </c>
      <c r="CU14" s="123">
        <f t="shared" si="43"/>
        <v>5.2</v>
      </c>
      <c r="CV14" s="123">
        <f t="shared" si="44"/>
        <v>56.2</v>
      </c>
      <c r="CW14" s="123">
        <f t="shared" si="45"/>
        <v>4.1900000000000004</v>
      </c>
      <c r="CX14" s="123">
        <f t="shared" si="46"/>
        <v>57.2</v>
      </c>
      <c r="CY14" s="123">
        <f t="shared" si="47"/>
        <v>3.46</v>
      </c>
      <c r="CZ14" s="123">
        <f t="shared" si="48"/>
        <v>64</v>
      </c>
      <c r="DA14" s="123">
        <f t="shared" si="49"/>
        <v>5.25</v>
      </c>
      <c r="DB14" s="123">
        <f t="shared" si="50"/>
        <v>64.7</v>
      </c>
      <c r="DC14" s="123">
        <f t="shared" si="51"/>
        <v>4.17</v>
      </c>
      <c r="DD14" s="123">
        <f t="shared" si="52"/>
        <v>64</v>
      </c>
      <c r="DE14" s="123">
        <f t="shared" si="53"/>
        <v>3.26</v>
      </c>
      <c r="DF14" s="123">
        <f t="shared" si="54"/>
        <v>72.8</v>
      </c>
      <c r="DG14" s="123">
        <f t="shared" si="55"/>
        <v>5.01</v>
      </c>
      <c r="DH14" s="123">
        <f t="shared" si="56"/>
        <v>74.099999999999994</v>
      </c>
      <c r="DI14" s="123">
        <f t="shared" si="57"/>
        <v>4.05</v>
      </c>
      <c r="DJ14" s="123">
        <f t="shared" si="58"/>
        <v>73.900000000000006</v>
      </c>
      <c r="DK14" s="123">
        <f t="shared" si="59"/>
        <v>3.34</v>
      </c>
      <c r="DL14" s="123">
        <f t="shared" si="60"/>
        <v>78.3</v>
      </c>
      <c r="DM14" s="123">
        <f t="shared" si="61"/>
        <v>5.0599999999999996</v>
      </c>
      <c r="DN14" s="123">
        <f t="shared" si="62"/>
        <v>80.3</v>
      </c>
      <c r="DO14" s="123">
        <f t="shared" si="63"/>
        <v>4.16</v>
      </c>
      <c r="DP14" s="123">
        <f t="shared" si="64"/>
        <v>81.099999999999994</v>
      </c>
      <c r="DQ14" s="123">
        <f t="shared" si="65"/>
        <v>3.49</v>
      </c>
      <c r="DR14" s="124">
        <f t="shared" si="66"/>
        <v>44.6</v>
      </c>
      <c r="DS14" s="124">
        <f t="shared" si="67"/>
        <v>4.5</v>
      </c>
      <c r="DT14" s="124">
        <f t="shared" si="68"/>
        <v>42.8</v>
      </c>
      <c r="DU14" s="124">
        <f t="shared" si="69"/>
        <v>3.5</v>
      </c>
      <c r="DV14" s="124">
        <f t="shared" si="70"/>
        <v>41</v>
      </c>
      <c r="DW14" s="124">
        <f t="shared" si="71"/>
        <v>2.9</v>
      </c>
      <c r="DX14" s="124">
        <f t="shared" si="72"/>
        <v>59.6</v>
      </c>
      <c r="DY14" s="124">
        <f t="shared" si="73"/>
        <v>4.8</v>
      </c>
      <c r="DZ14" s="124">
        <f t="shared" si="74"/>
        <v>56.8</v>
      </c>
      <c r="EA14" s="124">
        <f t="shared" si="75"/>
        <v>3.8</v>
      </c>
      <c r="EB14" s="124">
        <f t="shared" si="76"/>
        <v>54</v>
      </c>
      <c r="EC14" s="124">
        <f t="shared" si="77"/>
        <v>2.9</v>
      </c>
      <c r="ED14" s="124">
        <f t="shared" si="78"/>
        <v>86.7</v>
      </c>
      <c r="EE14" s="124">
        <f t="shared" si="79"/>
        <v>4.8</v>
      </c>
      <c r="EF14" s="124">
        <f t="shared" si="80"/>
        <v>83.35</v>
      </c>
      <c r="EG14" s="124">
        <f t="shared" si="81"/>
        <v>3.7</v>
      </c>
      <c r="EH14" s="124">
        <f t="shared" si="82"/>
        <v>80</v>
      </c>
      <c r="EI14" s="124">
        <f t="shared" si="83"/>
        <v>2.9</v>
      </c>
      <c r="EJ14" s="102">
        <v>5.8</v>
      </c>
      <c r="EK14" s="102">
        <v>4.4000000000000004</v>
      </c>
      <c r="EL14" s="102">
        <v>5.5</v>
      </c>
      <c r="EM14" s="102">
        <v>3.4</v>
      </c>
      <c r="EN14" s="102">
        <v>5.3</v>
      </c>
      <c r="EO14" s="102">
        <v>2.7</v>
      </c>
      <c r="EP14" s="102">
        <v>7.6</v>
      </c>
      <c r="EQ14" s="102">
        <v>4.7</v>
      </c>
      <c r="ER14" s="102">
        <v>7.3</v>
      </c>
      <c r="ES14" s="102">
        <v>3.6</v>
      </c>
      <c r="ET14" s="102">
        <v>6.9</v>
      </c>
      <c r="EU14" s="102">
        <v>2.8</v>
      </c>
      <c r="EV14" s="102">
        <v>10.4</v>
      </c>
      <c r="EW14" s="102">
        <v>4.8</v>
      </c>
      <c r="EX14" s="102">
        <v>10</v>
      </c>
      <c r="EY14" s="102">
        <v>3.8</v>
      </c>
      <c r="EZ14" s="102">
        <v>9.4</v>
      </c>
      <c r="FA14" s="102">
        <v>2.8</v>
      </c>
      <c r="FB14" s="102">
        <v>13.3</v>
      </c>
      <c r="FC14" s="102">
        <v>4.8</v>
      </c>
      <c r="FD14" s="102">
        <v>12.8</v>
      </c>
      <c r="FE14" s="102">
        <v>3.8</v>
      </c>
      <c r="FF14" s="102">
        <v>12.1</v>
      </c>
      <c r="FG14" s="102">
        <v>2.9</v>
      </c>
      <c r="FH14" s="102">
        <v>17</v>
      </c>
      <c r="FI14" s="102">
        <v>4.7</v>
      </c>
      <c r="FJ14" s="102">
        <v>16.100000000000001</v>
      </c>
      <c r="FK14" s="102">
        <v>3.6</v>
      </c>
      <c r="FL14" s="102">
        <v>15.2</v>
      </c>
      <c r="FM14" s="102">
        <v>2.8</v>
      </c>
    </row>
    <row r="15" spans="1:216" s="89" customFormat="1" x14ac:dyDescent="0.25">
      <c r="A15" s="89">
        <v>-17</v>
      </c>
      <c r="B15" s="120">
        <v>3.3225000000000002</v>
      </c>
      <c r="C15" s="120">
        <v>2.335</v>
      </c>
      <c r="D15" s="120">
        <v>4.5449999999999999</v>
      </c>
      <c r="E15" s="120">
        <v>2.3449999999999998</v>
      </c>
      <c r="F15" s="120">
        <v>6.2050000000000001</v>
      </c>
      <c r="G15" s="120">
        <v>2.4324999999999997</v>
      </c>
      <c r="H15" s="120">
        <v>7.7999999999999989</v>
      </c>
      <c r="I15" s="120">
        <v>2.2299999999999995</v>
      </c>
      <c r="J15" s="120">
        <v>9.5174999999999983</v>
      </c>
      <c r="K15" s="120">
        <v>2.2400000000000002</v>
      </c>
      <c r="L15" s="120">
        <v>3.2575000000000003</v>
      </c>
      <c r="M15" s="120">
        <v>2.0074999999999998</v>
      </c>
      <c r="N15" s="120">
        <v>4.3375000000000004</v>
      </c>
      <c r="O15" s="120">
        <v>2.1425000000000001</v>
      </c>
      <c r="P15" s="120">
        <v>6.1300000000000008</v>
      </c>
      <c r="Q15" s="120">
        <v>2.0474999999999999</v>
      </c>
      <c r="R15" s="120">
        <v>7.7349999999999994</v>
      </c>
      <c r="S15" s="120">
        <v>1.9324999999999997</v>
      </c>
      <c r="T15" s="120">
        <v>8.8074999999999992</v>
      </c>
      <c r="U15" s="120">
        <v>1.9324999999999997</v>
      </c>
      <c r="V15" s="120">
        <v>3.08</v>
      </c>
      <c r="W15" s="120">
        <v>1.575</v>
      </c>
      <c r="X15" s="120">
        <v>3.8425000000000002</v>
      </c>
      <c r="Y15" s="120">
        <v>1.6725000000000001</v>
      </c>
      <c r="Z15" s="120">
        <v>5.0949999999999998</v>
      </c>
      <c r="AA15" s="120">
        <v>1.7200000000000002</v>
      </c>
      <c r="AB15" s="120">
        <v>7.24</v>
      </c>
      <c r="AC15" s="120">
        <v>1.5475000000000001</v>
      </c>
      <c r="AD15" s="120">
        <v>7.8550000000000004</v>
      </c>
      <c r="AE15" s="120">
        <v>1.5375000000000001</v>
      </c>
      <c r="AF15" s="121">
        <f t="shared" si="0"/>
        <v>18.860299999999995</v>
      </c>
      <c r="AG15" s="121">
        <f t="shared" si="1"/>
        <v>2.3680000000000003</v>
      </c>
      <c r="AH15" s="121">
        <f t="shared" si="2"/>
        <v>21.906099999999999</v>
      </c>
      <c r="AI15" s="121">
        <f t="shared" si="3"/>
        <v>2.4580000000000002</v>
      </c>
      <c r="AJ15" s="121">
        <f t="shared" si="4"/>
        <v>28.325900000000011</v>
      </c>
      <c r="AK15" s="121">
        <f t="shared" si="5"/>
        <v>2.3380000000000001</v>
      </c>
      <c r="AL15" s="121">
        <f t="shared" si="6"/>
        <v>15.029599999999999</v>
      </c>
      <c r="AM15" s="121">
        <f t="shared" si="7"/>
        <v>1.9376000000000002</v>
      </c>
      <c r="AN15" s="121">
        <f t="shared" si="8"/>
        <v>17.436299999999999</v>
      </c>
      <c r="AO15" s="121">
        <f t="shared" si="9"/>
        <v>2.0276000000000001</v>
      </c>
      <c r="AP15" s="121">
        <f t="shared" si="10"/>
        <v>22.550200000000004</v>
      </c>
      <c r="AQ15" s="121">
        <f t="shared" si="11"/>
        <v>1.9076</v>
      </c>
      <c r="AR15" s="121">
        <f t="shared" si="12"/>
        <v>12.944999999999997</v>
      </c>
      <c r="AS15" s="121">
        <f t="shared" si="13"/>
        <v>1.5763999999999998</v>
      </c>
      <c r="AT15" s="121">
        <f t="shared" si="14"/>
        <v>14.994000000000007</v>
      </c>
      <c r="AU15" s="121">
        <f t="shared" si="15"/>
        <v>1.6664000000000001</v>
      </c>
      <c r="AV15" s="121">
        <f t="shared" si="16"/>
        <v>19.379100000000005</v>
      </c>
      <c r="AW15" s="121">
        <f t="shared" si="17"/>
        <v>1.5464</v>
      </c>
      <c r="AX15" s="122">
        <f t="shared" si="85"/>
        <v>3.7399999999999998</v>
      </c>
      <c r="AY15" s="122">
        <f t="shared" si="84"/>
        <v>2.7899999999999996</v>
      </c>
      <c r="AZ15" s="122">
        <f t="shared" si="84"/>
        <v>4.3639999999999999</v>
      </c>
      <c r="BA15" s="122">
        <f t="shared" si="84"/>
        <v>2.524</v>
      </c>
      <c r="BB15" s="122">
        <f t="shared" si="84"/>
        <v>5.7760000000000007</v>
      </c>
      <c r="BC15" s="122">
        <f t="shared" si="84"/>
        <v>2.4279999999999995</v>
      </c>
      <c r="BD15" s="122">
        <f t="shared" si="84"/>
        <v>9.7560000000000002</v>
      </c>
      <c r="BE15" s="122">
        <f t="shared" si="84"/>
        <v>2.7599999999999993</v>
      </c>
      <c r="BF15" s="122">
        <f t="shared" si="84"/>
        <v>3.6079999999999997</v>
      </c>
      <c r="BG15" s="122">
        <f t="shared" si="84"/>
        <v>2.4220000000000002</v>
      </c>
      <c r="BH15" s="122">
        <f t="shared" si="84"/>
        <v>4.41</v>
      </c>
      <c r="BI15" s="122">
        <f t="shared" si="84"/>
        <v>2.2119999999999993</v>
      </c>
      <c r="BJ15" s="122">
        <f t="shared" si="84"/>
        <v>5.8899999999999988</v>
      </c>
      <c r="BK15" s="122">
        <f t="shared" si="84"/>
        <v>2.1360000000000001</v>
      </c>
      <c r="BL15" s="122">
        <f t="shared" si="84"/>
        <v>9.7019999999999982</v>
      </c>
      <c r="BM15" s="122">
        <f t="shared" si="84"/>
        <v>2.3200000000000003</v>
      </c>
      <c r="BN15" s="122">
        <f t="shared" si="84"/>
        <v>3.4820000000000002</v>
      </c>
      <c r="BO15" s="122">
        <f t="shared" si="84"/>
        <v>2.0979999999999999</v>
      </c>
      <c r="BP15" s="122">
        <f t="shared" si="84"/>
        <v>4.4579999999999993</v>
      </c>
      <c r="BQ15" s="122">
        <f t="shared" si="84"/>
        <v>1.94</v>
      </c>
      <c r="BR15" s="122">
        <f t="shared" si="84"/>
        <v>6</v>
      </c>
      <c r="BS15" s="122">
        <f t="shared" si="84"/>
        <v>1.9000000000000001</v>
      </c>
      <c r="BT15" s="122">
        <f t="shared" si="84"/>
        <v>9.5859999999999985</v>
      </c>
      <c r="BU15" s="122">
        <f t="shared" si="84"/>
        <v>1.99</v>
      </c>
      <c r="BV15" s="123">
        <f t="shared" si="18"/>
        <v>22.9</v>
      </c>
      <c r="BW15" s="123">
        <f t="shared" si="19"/>
        <v>5.31</v>
      </c>
      <c r="BX15" s="123">
        <f t="shared" si="20"/>
        <v>23.1</v>
      </c>
      <c r="BY15" s="123">
        <f t="shared" si="21"/>
        <v>4.21</v>
      </c>
      <c r="BZ15" s="123">
        <f t="shared" si="22"/>
        <v>23.3</v>
      </c>
      <c r="CA15" s="123">
        <f t="shared" si="23"/>
        <v>3.44</v>
      </c>
      <c r="CB15" s="123">
        <f t="shared" si="24"/>
        <v>28.9</v>
      </c>
      <c r="CC15" s="123">
        <f t="shared" si="25"/>
        <v>5.34</v>
      </c>
      <c r="CD15" s="123">
        <f t="shared" si="26"/>
        <v>29.1</v>
      </c>
      <c r="CE15" s="123">
        <f t="shared" si="27"/>
        <v>4.22</v>
      </c>
      <c r="CF15" s="123">
        <f t="shared" si="28"/>
        <v>29.3</v>
      </c>
      <c r="CG15" s="123">
        <f t="shared" si="29"/>
        <v>3.37</v>
      </c>
      <c r="CH15" s="123">
        <f t="shared" si="30"/>
        <v>38.700000000000003</v>
      </c>
      <c r="CI15" s="123">
        <f t="shared" si="31"/>
        <v>4.8899999999999997</v>
      </c>
      <c r="CJ15" s="123">
        <f t="shared" si="32"/>
        <v>38.5</v>
      </c>
      <c r="CK15" s="123">
        <f t="shared" si="33"/>
        <v>4.21</v>
      </c>
      <c r="CL15" s="123">
        <f t="shared" si="34"/>
        <v>38.799999999999997</v>
      </c>
      <c r="CM15" s="123">
        <f t="shared" si="35"/>
        <v>3.36</v>
      </c>
      <c r="CN15" s="123">
        <f t="shared" si="36"/>
        <v>47.5</v>
      </c>
      <c r="CO15" s="123">
        <f t="shared" si="37"/>
        <v>5.2</v>
      </c>
      <c r="CP15" s="123">
        <f t="shared" si="38"/>
        <v>47</v>
      </c>
      <c r="CQ15" s="123">
        <f t="shared" si="39"/>
        <v>4.1900000000000004</v>
      </c>
      <c r="CR15" s="123">
        <f t="shared" si="40"/>
        <v>47.7</v>
      </c>
      <c r="CS15" s="123">
        <f t="shared" si="41"/>
        <v>3.46</v>
      </c>
      <c r="CT15" s="123">
        <f t="shared" si="42"/>
        <v>54.9</v>
      </c>
      <c r="CU15" s="123">
        <f t="shared" si="43"/>
        <v>5.2</v>
      </c>
      <c r="CV15" s="123">
        <f t="shared" si="44"/>
        <v>56.2</v>
      </c>
      <c r="CW15" s="123">
        <f t="shared" si="45"/>
        <v>4.1900000000000004</v>
      </c>
      <c r="CX15" s="123">
        <f t="shared" si="46"/>
        <v>57.2</v>
      </c>
      <c r="CY15" s="123">
        <f t="shared" si="47"/>
        <v>3.46</v>
      </c>
      <c r="CZ15" s="123">
        <f t="shared" si="48"/>
        <v>64</v>
      </c>
      <c r="DA15" s="123">
        <f t="shared" si="49"/>
        <v>5.25</v>
      </c>
      <c r="DB15" s="123">
        <f t="shared" si="50"/>
        <v>64.7</v>
      </c>
      <c r="DC15" s="123">
        <f t="shared" si="51"/>
        <v>4.17</v>
      </c>
      <c r="DD15" s="123">
        <f t="shared" si="52"/>
        <v>64</v>
      </c>
      <c r="DE15" s="123">
        <f t="shared" si="53"/>
        <v>3.26</v>
      </c>
      <c r="DF15" s="123">
        <f t="shared" si="54"/>
        <v>72.8</v>
      </c>
      <c r="DG15" s="123">
        <f t="shared" si="55"/>
        <v>5.01</v>
      </c>
      <c r="DH15" s="123">
        <f t="shared" si="56"/>
        <v>74.099999999999994</v>
      </c>
      <c r="DI15" s="123">
        <f t="shared" si="57"/>
        <v>4.05</v>
      </c>
      <c r="DJ15" s="123">
        <f t="shared" si="58"/>
        <v>73.900000000000006</v>
      </c>
      <c r="DK15" s="123">
        <f t="shared" si="59"/>
        <v>3.34</v>
      </c>
      <c r="DL15" s="123">
        <f t="shared" si="60"/>
        <v>78.3</v>
      </c>
      <c r="DM15" s="123">
        <f t="shared" si="61"/>
        <v>5.0599999999999996</v>
      </c>
      <c r="DN15" s="123">
        <f t="shared" si="62"/>
        <v>80.3</v>
      </c>
      <c r="DO15" s="123">
        <f t="shared" si="63"/>
        <v>4.16</v>
      </c>
      <c r="DP15" s="123">
        <f t="shared" si="64"/>
        <v>81.099999999999994</v>
      </c>
      <c r="DQ15" s="123">
        <f t="shared" si="65"/>
        <v>3.49</v>
      </c>
      <c r="DR15" s="124">
        <f t="shared" si="66"/>
        <v>44.6</v>
      </c>
      <c r="DS15" s="124">
        <f t="shared" si="67"/>
        <v>4.5</v>
      </c>
      <c r="DT15" s="124">
        <f t="shared" si="68"/>
        <v>42.8</v>
      </c>
      <c r="DU15" s="124">
        <f t="shared" si="69"/>
        <v>3.5</v>
      </c>
      <c r="DV15" s="124">
        <f t="shared" si="70"/>
        <v>41</v>
      </c>
      <c r="DW15" s="124">
        <f t="shared" si="71"/>
        <v>2.9</v>
      </c>
      <c r="DX15" s="124">
        <f t="shared" si="72"/>
        <v>59.6</v>
      </c>
      <c r="DY15" s="124">
        <f t="shared" si="73"/>
        <v>4.8</v>
      </c>
      <c r="DZ15" s="124">
        <f t="shared" si="74"/>
        <v>56.8</v>
      </c>
      <c r="EA15" s="124">
        <f t="shared" si="75"/>
        <v>3.8</v>
      </c>
      <c r="EB15" s="124">
        <f t="shared" si="76"/>
        <v>54</v>
      </c>
      <c r="EC15" s="124">
        <f t="shared" si="77"/>
        <v>2.9</v>
      </c>
      <c r="ED15" s="124">
        <f t="shared" si="78"/>
        <v>86.7</v>
      </c>
      <c r="EE15" s="124">
        <f t="shared" si="79"/>
        <v>4.8</v>
      </c>
      <c r="EF15" s="124">
        <f t="shared" si="80"/>
        <v>83.35</v>
      </c>
      <c r="EG15" s="124">
        <f t="shared" si="81"/>
        <v>3.7</v>
      </c>
      <c r="EH15" s="124">
        <f t="shared" si="82"/>
        <v>80</v>
      </c>
      <c r="EI15" s="124">
        <f t="shared" si="83"/>
        <v>2.9</v>
      </c>
      <c r="EJ15" s="102">
        <v>5.8</v>
      </c>
      <c r="EK15" s="102">
        <v>4.4000000000000004</v>
      </c>
      <c r="EL15" s="102">
        <v>5.5</v>
      </c>
      <c r="EM15" s="102">
        <v>3.4</v>
      </c>
      <c r="EN15" s="102">
        <v>5.3</v>
      </c>
      <c r="EO15" s="102">
        <v>2.7</v>
      </c>
      <c r="EP15" s="102">
        <v>7.6</v>
      </c>
      <c r="EQ15" s="102">
        <v>4.7</v>
      </c>
      <c r="ER15" s="102">
        <v>7.3</v>
      </c>
      <c r="ES15" s="102">
        <v>3.6</v>
      </c>
      <c r="ET15" s="102">
        <v>6.9</v>
      </c>
      <c r="EU15" s="102">
        <v>2.8</v>
      </c>
      <c r="EV15" s="102">
        <v>10.4</v>
      </c>
      <c r="EW15" s="102">
        <v>4.8</v>
      </c>
      <c r="EX15" s="102">
        <v>10</v>
      </c>
      <c r="EY15" s="102">
        <v>3.8</v>
      </c>
      <c r="EZ15" s="102">
        <v>9.4</v>
      </c>
      <c r="FA15" s="102">
        <v>2.8</v>
      </c>
      <c r="FB15" s="102">
        <v>13.3</v>
      </c>
      <c r="FC15" s="102">
        <v>4.8</v>
      </c>
      <c r="FD15" s="102">
        <v>12.8</v>
      </c>
      <c r="FE15" s="102">
        <v>3.8</v>
      </c>
      <c r="FF15" s="102">
        <v>12.1</v>
      </c>
      <c r="FG15" s="102">
        <v>2.9</v>
      </c>
      <c r="FH15" s="102">
        <v>17</v>
      </c>
      <c r="FI15" s="102">
        <v>4.7</v>
      </c>
      <c r="FJ15" s="102">
        <v>16.100000000000001</v>
      </c>
      <c r="FK15" s="102">
        <v>3.6</v>
      </c>
      <c r="FL15" s="102">
        <v>15.2</v>
      </c>
      <c r="FM15" s="102">
        <v>2.8</v>
      </c>
    </row>
    <row r="16" spans="1:216" s="89" customFormat="1" x14ac:dyDescent="0.25">
      <c r="A16" s="89">
        <v>-16</v>
      </c>
      <c r="B16" s="120">
        <v>3.4412500000000001</v>
      </c>
      <c r="C16" s="120">
        <v>2.3825000000000003</v>
      </c>
      <c r="D16" s="120">
        <v>4.7075000000000005</v>
      </c>
      <c r="E16" s="120">
        <v>2.3925000000000001</v>
      </c>
      <c r="F16" s="120">
        <v>6.4275000000000002</v>
      </c>
      <c r="G16" s="120">
        <v>2.4812499999999997</v>
      </c>
      <c r="H16" s="120">
        <v>8.08</v>
      </c>
      <c r="I16" s="120">
        <v>2.2749999999999999</v>
      </c>
      <c r="J16" s="120">
        <v>9.8587499999999988</v>
      </c>
      <c r="K16" s="120">
        <v>2.2850000000000001</v>
      </c>
      <c r="L16" s="120">
        <v>3.3737500000000002</v>
      </c>
      <c r="M16" s="120">
        <v>2.0487500000000001</v>
      </c>
      <c r="N16" s="120">
        <v>4.4937500000000004</v>
      </c>
      <c r="O16" s="120">
        <v>2.1862499999999998</v>
      </c>
      <c r="P16" s="120">
        <v>6.3500000000000005</v>
      </c>
      <c r="Q16" s="120">
        <v>2.0887500000000001</v>
      </c>
      <c r="R16" s="120">
        <v>8.0124999999999993</v>
      </c>
      <c r="S16" s="120">
        <v>1.9712499999999997</v>
      </c>
      <c r="T16" s="120">
        <v>9.1237499999999994</v>
      </c>
      <c r="U16" s="120">
        <v>1.9712499999999997</v>
      </c>
      <c r="V16" s="120">
        <v>3.19</v>
      </c>
      <c r="W16" s="120">
        <v>1.6074999999999999</v>
      </c>
      <c r="X16" s="120">
        <v>3.9812500000000002</v>
      </c>
      <c r="Y16" s="120">
        <v>1.70625</v>
      </c>
      <c r="Z16" s="120">
        <v>5.2774999999999999</v>
      </c>
      <c r="AA16" s="120">
        <v>1.7550000000000001</v>
      </c>
      <c r="AB16" s="120">
        <v>7.5</v>
      </c>
      <c r="AC16" s="120">
        <v>1.5787500000000001</v>
      </c>
      <c r="AD16" s="120">
        <v>8.1374999999999993</v>
      </c>
      <c r="AE16" s="120">
        <v>1.5687500000000001</v>
      </c>
      <c r="AF16" s="121">
        <f xml:space="preserve"> -0.1655*A16^2 - 2.5574*A16 + 23.214</f>
        <v>21.764399999999995</v>
      </c>
      <c r="AG16" s="121">
        <f xml:space="preserve"> -0.0011*A16^2 + 0.0522*A16 + 3.5733</f>
        <v>2.4565000000000001</v>
      </c>
      <c r="AH16" s="121">
        <f xml:space="preserve"> -0.1917*A16^2 - 2.9622*A16 + 26.95</f>
        <v>25.27</v>
      </c>
      <c r="AI16" s="121">
        <f xml:space="preserve"> -0.0011*A16^2 + 0.0522*A16 + 3.6633</f>
        <v>2.5465</v>
      </c>
      <c r="AJ16" s="121">
        <f xml:space="preserve"> -0.2478*A16^2 - 3.8283*A16 + 34.859</f>
        <v>32.675000000000004</v>
      </c>
      <c r="AK16" s="121">
        <f xml:space="preserve"> -0.0011*A16^2 + 0.0522*A16 + 3.5433</f>
        <v>2.4264999999999999</v>
      </c>
      <c r="AL16" s="121">
        <f xml:space="preserve"> -0.1565*A16^2 - 2.3013*A16 + 21.136</f>
        <v>17.892799999999998</v>
      </c>
      <c r="AM16" s="121">
        <f xml:space="preserve"> -0.0017*A16^2 + 0.0233*A16 + 2.825</f>
        <v>2.0170000000000003</v>
      </c>
      <c r="AN16" s="121">
        <f xml:space="preserve"> -0.1816*A16^2 - 2.6711*A16 + 24.51</f>
        <v>20.757999999999999</v>
      </c>
      <c r="AO16" s="121">
        <f xml:space="preserve"> -0.0017*A16^2 + 0.0233*A16 + 2.915</f>
        <v>2.1070000000000002</v>
      </c>
      <c r="AP16" s="121">
        <f xml:space="preserve"> -0.2349*A16^2 - 3.4559*A16 + 31.686</f>
        <v>26.846000000000004</v>
      </c>
      <c r="AQ16" s="121">
        <f xml:space="preserve"> -0.0017*A16^2 + 0.0233*A16 + 2.795</f>
        <v>1.9869999999999999</v>
      </c>
      <c r="AR16" s="121">
        <f xml:space="preserve"> -0.1878*A16^2 - 3.2436*A16 + 12.078</f>
        <v>15.898799999999998</v>
      </c>
      <c r="AS16" s="121">
        <f xml:space="preserve"> -0.002*A16^2 + 0.0011*A16 + 2.1731</f>
        <v>1.6435</v>
      </c>
      <c r="AT16" s="121">
        <f xml:space="preserve"> -0.2181*A16^2 - 3.7667*A16 + 13.991</f>
        <v>18.424600000000005</v>
      </c>
      <c r="AU16" s="121">
        <f xml:space="preserve"> -0.002*A16^2 + 0.0011*A16 + 2.2631</f>
        <v>1.7335000000000003</v>
      </c>
      <c r="AV16" s="121">
        <f xml:space="preserve"> -0.282*A16^2 - 4.8693*A16 + 18.099</f>
        <v>23.815800000000007</v>
      </c>
      <c r="AW16" s="121">
        <f xml:space="preserve"> -0.002*A16^2 + 0.0011*A16 + 2.1431</f>
        <v>1.6135000000000002</v>
      </c>
      <c r="AX16" s="122">
        <f t="shared" si="85"/>
        <v>3.8499999999999996</v>
      </c>
      <c r="AY16" s="122">
        <f t="shared" si="84"/>
        <v>2.8399999999999994</v>
      </c>
      <c r="AZ16" s="122">
        <f t="shared" si="84"/>
        <v>4.492</v>
      </c>
      <c r="BA16" s="122">
        <f t="shared" si="84"/>
        <v>2.5720000000000001</v>
      </c>
      <c r="BB16" s="122">
        <f t="shared" si="84"/>
        <v>5.9280000000000008</v>
      </c>
      <c r="BC16" s="122">
        <f t="shared" si="84"/>
        <v>2.4739999999999993</v>
      </c>
      <c r="BD16" s="122">
        <f t="shared" si="84"/>
        <v>10.028</v>
      </c>
      <c r="BE16" s="122">
        <f t="shared" si="84"/>
        <v>2.8099999999999992</v>
      </c>
      <c r="BF16" s="122">
        <f t="shared" si="84"/>
        <v>3.7139999999999995</v>
      </c>
      <c r="BG16" s="122">
        <f t="shared" si="84"/>
        <v>2.4660000000000002</v>
      </c>
      <c r="BH16" s="122">
        <f t="shared" si="84"/>
        <v>4.53</v>
      </c>
      <c r="BI16" s="122">
        <f t="shared" si="84"/>
        <v>2.2459999999999991</v>
      </c>
      <c r="BJ16" s="122">
        <f t="shared" si="84"/>
        <v>6.0299999999999985</v>
      </c>
      <c r="BK16" s="122">
        <f t="shared" si="84"/>
        <v>2.1680000000000001</v>
      </c>
      <c r="BL16" s="122">
        <f t="shared" si="84"/>
        <v>9.9559999999999977</v>
      </c>
      <c r="BM16" s="122">
        <f t="shared" si="84"/>
        <v>2.3600000000000003</v>
      </c>
      <c r="BN16" s="122">
        <f t="shared" si="84"/>
        <v>3.5860000000000003</v>
      </c>
      <c r="BO16" s="122">
        <f t="shared" si="84"/>
        <v>2.1339999999999999</v>
      </c>
      <c r="BP16" s="122">
        <f t="shared" si="84"/>
        <v>4.5639999999999992</v>
      </c>
      <c r="BQ16" s="122">
        <f t="shared" si="84"/>
        <v>1.96</v>
      </c>
      <c r="BR16" s="122">
        <f t="shared" si="84"/>
        <v>6.12</v>
      </c>
      <c r="BS16" s="122">
        <f t="shared" si="84"/>
        <v>1.9200000000000002</v>
      </c>
      <c r="BT16" s="122">
        <f t="shared" si="84"/>
        <v>9.8179999999999978</v>
      </c>
      <c r="BU16" s="122">
        <f t="shared" si="84"/>
        <v>2.02</v>
      </c>
      <c r="BV16" s="123">
        <f t="shared" si="18"/>
        <v>22.9</v>
      </c>
      <c r="BW16" s="123">
        <f t="shared" si="19"/>
        <v>5.31</v>
      </c>
      <c r="BX16" s="123">
        <f t="shared" si="20"/>
        <v>23.1</v>
      </c>
      <c r="BY16" s="123">
        <f t="shared" si="21"/>
        <v>4.21</v>
      </c>
      <c r="BZ16" s="123">
        <f t="shared" si="22"/>
        <v>23.3</v>
      </c>
      <c r="CA16" s="123">
        <f t="shared" si="23"/>
        <v>3.44</v>
      </c>
      <c r="CB16" s="123">
        <f t="shared" si="24"/>
        <v>28.9</v>
      </c>
      <c r="CC16" s="123">
        <f t="shared" si="25"/>
        <v>5.34</v>
      </c>
      <c r="CD16" s="123">
        <f t="shared" si="26"/>
        <v>29.1</v>
      </c>
      <c r="CE16" s="123">
        <f t="shared" si="27"/>
        <v>4.22</v>
      </c>
      <c r="CF16" s="123">
        <f t="shared" si="28"/>
        <v>29.3</v>
      </c>
      <c r="CG16" s="123">
        <f t="shared" si="29"/>
        <v>3.37</v>
      </c>
      <c r="CH16" s="123">
        <f t="shared" si="30"/>
        <v>38.700000000000003</v>
      </c>
      <c r="CI16" s="123">
        <f t="shared" si="31"/>
        <v>4.8899999999999997</v>
      </c>
      <c r="CJ16" s="123">
        <f t="shared" si="32"/>
        <v>38.5</v>
      </c>
      <c r="CK16" s="123">
        <f t="shared" si="33"/>
        <v>4.21</v>
      </c>
      <c r="CL16" s="123">
        <f t="shared" si="34"/>
        <v>38.799999999999997</v>
      </c>
      <c r="CM16" s="123">
        <f t="shared" si="35"/>
        <v>3.36</v>
      </c>
      <c r="CN16" s="123">
        <f t="shared" si="36"/>
        <v>47.5</v>
      </c>
      <c r="CO16" s="123">
        <f t="shared" si="37"/>
        <v>5.2</v>
      </c>
      <c r="CP16" s="123">
        <f t="shared" si="38"/>
        <v>47</v>
      </c>
      <c r="CQ16" s="123">
        <f t="shared" si="39"/>
        <v>4.1900000000000004</v>
      </c>
      <c r="CR16" s="123">
        <f t="shared" si="40"/>
        <v>47.7</v>
      </c>
      <c r="CS16" s="123">
        <f t="shared" si="41"/>
        <v>3.46</v>
      </c>
      <c r="CT16" s="123">
        <f t="shared" si="42"/>
        <v>54.9</v>
      </c>
      <c r="CU16" s="123">
        <f t="shared" si="43"/>
        <v>5.2</v>
      </c>
      <c r="CV16" s="123">
        <f t="shared" si="44"/>
        <v>56.2</v>
      </c>
      <c r="CW16" s="123">
        <f t="shared" si="45"/>
        <v>4.1900000000000004</v>
      </c>
      <c r="CX16" s="123">
        <f t="shared" si="46"/>
        <v>57.2</v>
      </c>
      <c r="CY16" s="123">
        <f t="shared" si="47"/>
        <v>3.46</v>
      </c>
      <c r="CZ16" s="123">
        <f t="shared" si="48"/>
        <v>64</v>
      </c>
      <c r="DA16" s="123">
        <f t="shared" si="49"/>
        <v>5.25</v>
      </c>
      <c r="DB16" s="123">
        <f t="shared" si="50"/>
        <v>64.7</v>
      </c>
      <c r="DC16" s="123">
        <f t="shared" si="51"/>
        <v>4.17</v>
      </c>
      <c r="DD16" s="123">
        <f t="shared" si="52"/>
        <v>64</v>
      </c>
      <c r="DE16" s="123">
        <f t="shared" si="53"/>
        <v>3.26</v>
      </c>
      <c r="DF16" s="123">
        <f t="shared" si="54"/>
        <v>72.8</v>
      </c>
      <c r="DG16" s="123">
        <f t="shared" si="55"/>
        <v>5.01</v>
      </c>
      <c r="DH16" s="123">
        <f t="shared" si="56"/>
        <v>74.099999999999994</v>
      </c>
      <c r="DI16" s="123">
        <f t="shared" si="57"/>
        <v>4.05</v>
      </c>
      <c r="DJ16" s="123">
        <f t="shared" si="58"/>
        <v>73.900000000000006</v>
      </c>
      <c r="DK16" s="123">
        <f t="shared" si="59"/>
        <v>3.34</v>
      </c>
      <c r="DL16" s="123">
        <f t="shared" si="60"/>
        <v>78.3</v>
      </c>
      <c r="DM16" s="123">
        <f t="shared" si="61"/>
        <v>5.0599999999999996</v>
      </c>
      <c r="DN16" s="123">
        <f t="shared" si="62"/>
        <v>80.3</v>
      </c>
      <c r="DO16" s="123">
        <f t="shared" si="63"/>
        <v>4.16</v>
      </c>
      <c r="DP16" s="123">
        <f t="shared" si="64"/>
        <v>81.099999999999994</v>
      </c>
      <c r="DQ16" s="123">
        <f t="shared" si="65"/>
        <v>3.49</v>
      </c>
      <c r="DR16" s="124">
        <f t="shared" si="66"/>
        <v>44.6</v>
      </c>
      <c r="DS16" s="124">
        <f t="shared" si="67"/>
        <v>4.5</v>
      </c>
      <c r="DT16" s="124">
        <f t="shared" si="68"/>
        <v>42.8</v>
      </c>
      <c r="DU16" s="124">
        <f t="shared" si="69"/>
        <v>3.5</v>
      </c>
      <c r="DV16" s="124">
        <f t="shared" si="70"/>
        <v>41</v>
      </c>
      <c r="DW16" s="124">
        <f t="shared" si="71"/>
        <v>2.9</v>
      </c>
      <c r="DX16" s="124">
        <f t="shared" si="72"/>
        <v>59.6</v>
      </c>
      <c r="DY16" s="124">
        <f t="shared" si="73"/>
        <v>4.8</v>
      </c>
      <c r="DZ16" s="124">
        <f t="shared" si="74"/>
        <v>56.8</v>
      </c>
      <c r="EA16" s="124">
        <f t="shared" si="75"/>
        <v>3.8</v>
      </c>
      <c r="EB16" s="124">
        <f t="shared" si="76"/>
        <v>54</v>
      </c>
      <c r="EC16" s="124">
        <f t="shared" si="77"/>
        <v>2.9</v>
      </c>
      <c r="ED16" s="124">
        <f t="shared" si="78"/>
        <v>86.7</v>
      </c>
      <c r="EE16" s="124">
        <f t="shared" si="79"/>
        <v>4.8</v>
      </c>
      <c r="EF16" s="124">
        <f t="shared" si="80"/>
        <v>83.35</v>
      </c>
      <c r="EG16" s="124">
        <f t="shared" si="81"/>
        <v>3.7</v>
      </c>
      <c r="EH16" s="124">
        <f t="shared" si="82"/>
        <v>80</v>
      </c>
      <c r="EI16" s="124">
        <f t="shared" si="83"/>
        <v>2.9</v>
      </c>
      <c r="EJ16" s="102">
        <v>5.8</v>
      </c>
      <c r="EK16" s="102">
        <v>4.4000000000000004</v>
      </c>
      <c r="EL16" s="102">
        <v>5.5</v>
      </c>
      <c r="EM16" s="102">
        <v>3.4</v>
      </c>
      <c r="EN16" s="102">
        <v>5.3</v>
      </c>
      <c r="EO16" s="102">
        <v>2.7</v>
      </c>
      <c r="EP16" s="102">
        <v>7.6</v>
      </c>
      <c r="EQ16" s="102">
        <v>4.7</v>
      </c>
      <c r="ER16" s="102">
        <v>7.3</v>
      </c>
      <c r="ES16" s="102">
        <v>3.6</v>
      </c>
      <c r="ET16" s="102">
        <v>6.9</v>
      </c>
      <c r="EU16" s="102">
        <v>2.8</v>
      </c>
      <c r="EV16" s="102">
        <v>10.4</v>
      </c>
      <c r="EW16" s="102">
        <v>4.8</v>
      </c>
      <c r="EX16" s="102">
        <v>10</v>
      </c>
      <c r="EY16" s="102">
        <v>3.8</v>
      </c>
      <c r="EZ16" s="102">
        <v>9.4</v>
      </c>
      <c r="FA16" s="102">
        <v>2.8</v>
      </c>
      <c r="FB16" s="102">
        <v>13.3</v>
      </c>
      <c r="FC16" s="102">
        <v>4.8</v>
      </c>
      <c r="FD16" s="102">
        <v>12.8</v>
      </c>
      <c r="FE16" s="102">
        <v>3.8</v>
      </c>
      <c r="FF16" s="102">
        <v>12.1</v>
      </c>
      <c r="FG16" s="102">
        <v>2.9</v>
      </c>
      <c r="FH16" s="102">
        <v>17</v>
      </c>
      <c r="FI16" s="102">
        <v>4.7</v>
      </c>
      <c r="FJ16" s="102">
        <v>16.100000000000001</v>
      </c>
      <c r="FK16" s="102">
        <v>3.6</v>
      </c>
      <c r="FL16" s="102">
        <v>15.2</v>
      </c>
      <c r="FM16" s="102">
        <v>2.8</v>
      </c>
    </row>
    <row r="17" spans="1:169" s="89" customFormat="1" x14ac:dyDescent="0.25">
      <c r="A17" s="89">
        <v>-15</v>
      </c>
      <c r="B17" s="120">
        <v>3.56</v>
      </c>
      <c r="C17" s="120">
        <v>2.4300000000000002</v>
      </c>
      <c r="D17" s="120">
        <v>4.87</v>
      </c>
      <c r="E17" s="120">
        <v>2.44</v>
      </c>
      <c r="F17" s="120">
        <v>6.65</v>
      </c>
      <c r="G17" s="120">
        <v>2.5299999999999998</v>
      </c>
      <c r="H17" s="120">
        <v>8.36</v>
      </c>
      <c r="I17" s="120">
        <v>2.3199999999999998</v>
      </c>
      <c r="J17" s="120">
        <v>10.199999999999999</v>
      </c>
      <c r="K17" s="120">
        <v>2.33</v>
      </c>
      <c r="L17" s="120">
        <v>3.49</v>
      </c>
      <c r="M17" s="120">
        <v>2.09</v>
      </c>
      <c r="N17" s="120">
        <v>4.6500000000000004</v>
      </c>
      <c r="O17" s="120">
        <v>2.23</v>
      </c>
      <c r="P17" s="120">
        <v>6.57</v>
      </c>
      <c r="Q17" s="120">
        <v>2.13</v>
      </c>
      <c r="R17" s="120">
        <v>8.2899999999999991</v>
      </c>
      <c r="S17" s="120">
        <v>2.0099999999999998</v>
      </c>
      <c r="T17" s="120">
        <v>9.44</v>
      </c>
      <c r="U17" s="120">
        <v>2.0099999999999998</v>
      </c>
      <c r="V17" s="120">
        <v>3.3</v>
      </c>
      <c r="W17" s="120">
        <v>1.64</v>
      </c>
      <c r="X17" s="120">
        <v>4.12</v>
      </c>
      <c r="Y17" s="120">
        <v>1.74</v>
      </c>
      <c r="Z17" s="120">
        <v>5.46</v>
      </c>
      <c r="AA17" s="120">
        <v>1.79</v>
      </c>
      <c r="AB17" s="120">
        <v>7.76</v>
      </c>
      <c r="AC17" s="120">
        <v>1.61</v>
      </c>
      <c r="AD17" s="120">
        <v>8.42</v>
      </c>
      <c r="AE17" s="120">
        <v>1.6</v>
      </c>
      <c r="AF17" s="125">
        <v>24.34</v>
      </c>
      <c r="AG17" s="125">
        <v>2.54</v>
      </c>
      <c r="AH17" s="125">
        <v>28.24</v>
      </c>
      <c r="AI17" s="125">
        <v>2.63</v>
      </c>
      <c r="AJ17" s="125">
        <v>36.520000000000003</v>
      </c>
      <c r="AK17" s="125">
        <v>2.5099999999999998</v>
      </c>
      <c r="AL17" s="125">
        <v>20.45</v>
      </c>
      <c r="AM17" s="125">
        <v>2.1</v>
      </c>
      <c r="AN17" s="125">
        <v>23.72</v>
      </c>
      <c r="AO17" s="125">
        <v>2.19</v>
      </c>
      <c r="AP17" s="125">
        <v>30.67</v>
      </c>
      <c r="AQ17" s="125">
        <v>2.0699999999999998</v>
      </c>
      <c r="AR17" s="125">
        <v>18.47</v>
      </c>
      <c r="AS17" s="125">
        <v>1.71</v>
      </c>
      <c r="AT17" s="125">
        <v>21.42</v>
      </c>
      <c r="AU17" s="125">
        <v>1.8</v>
      </c>
      <c r="AV17" s="125">
        <v>27.7</v>
      </c>
      <c r="AW17" s="125">
        <v>1.68</v>
      </c>
      <c r="AX17" s="122">
        <v>3.96</v>
      </c>
      <c r="AY17" s="122">
        <v>2.89</v>
      </c>
      <c r="AZ17" s="122">
        <v>4.62</v>
      </c>
      <c r="BA17" s="122">
        <v>2.62</v>
      </c>
      <c r="BB17" s="122">
        <v>6.08</v>
      </c>
      <c r="BC17" s="122">
        <v>2.52</v>
      </c>
      <c r="BD17" s="122">
        <v>10.3</v>
      </c>
      <c r="BE17" s="122">
        <v>2.86</v>
      </c>
      <c r="BF17" s="122">
        <v>3.82</v>
      </c>
      <c r="BG17" s="122">
        <v>2.5099999999999998</v>
      </c>
      <c r="BH17" s="122">
        <v>4.6500000000000004</v>
      </c>
      <c r="BI17" s="122">
        <v>2.2799999999999998</v>
      </c>
      <c r="BJ17" s="122">
        <v>6.17</v>
      </c>
      <c r="BK17" s="122">
        <v>2.2000000000000002</v>
      </c>
      <c r="BL17" s="122">
        <v>10.210000000000001</v>
      </c>
      <c r="BM17" s="122">
        <v>2.4</v>
      </c>
      <c r="BN17" s="122">
        <v>3.69</v>
      </c>
      <c r="BO17" s="122">
        <v>2.17</v>
      </c>
      <c r="BP17" s="122">
        <v>4.67</v>
      </c>
      <c r="BQ17" s="122">
        <v>1.98</v>
      </c>
      <c r="BR17" s="122">
        <v>6.24</v>
      </c>
      <c r="BS17" s="122">
        <v>1.94</v>
      </c>
      <c r="BT17" s="122">
        <v>10.050000000000001</v>
      </c>
      <c r="BU17" s="122">
        <v>2.0499999999999998</v>
      </c>
      <c r="BV17" s="123">
        <f t="shared" si="18"/>
        <v>22.9</v>
      </c>
      <c r="BW17" s="123">
        <f t="shared" si="19"/>
        <v>5.31</v>
      </c>
      <c r="BX17" s="123">
        <f t="shared" si="20"/>
        <v>23.1</v>
      </c>
      <c r="BY17" s="123">
        <f t="shared" si="21"/>
        <v>4.21</v>
      </c>
      <c r="BZ17" s="123">
        <f t="shared" si="22"/>
        <v>23.3</v>
      </c>
      <c r="CA17" s="123">
        <f t="shared" si="23"/>
        <v>3.44</v>
      </c>
      <c r="CB17" s="123">
        <f t="shared" si="24"/>
        <v>28.9</v>
      </c>
      <c r="CC17" s="123">
        <f t="shared" si="25"/>
        <v>5.34</v>
      </c>
      <c r="CD17" s="123">
        <f t="shared" si="26"/>
        <v>29.1</v>
      </c>
      <c r="CE17" s="123">
        <f t="shared" si="27"/>
        <v>4.22</v>
      </c>
      <c r="CF17" s="123">
        <f t="shared" si="28"/>
        <v>29.3</v>
      </c>
      <c r="CG17" s="123">
        <f t="shared" si="29"/>
        <v>3.37</v>
      </c>
      <c r="CH17" s="123">
        <f t="shared" si="30"/>
        <v>38.700000000000003</v>
      </c>
      <c r="CI17" s="123">
        <f t="shared" si="31"/>
        <v>4.8899999999999997</v>
      </c>
      <c r="CJ17" s="123">
        <f t="shared" si="32"/>
        <v>38.5</v>
      </c>
      <c r="CK17" s="123">
        <f t="shared" si="33"/>
        <v>4.21</v>
      </c>
      <c r="CL17" s="123">
        <f t="shared" si="34"/>
        <v>38.799999999999997</v>
      </c>
      <c r="CM17" s="123">
        <f t="shared" si="35"/>
        <v>3.36</v>
      </c>
      <c r="CN17" s="123">
        <f t="shared" si="36"/>
        <v>47.5</v>
      </c>
      <c r="CO17" s="123">
        <f t="shared" si="37"/>
        <v>5.2</v>
      </c>
      <c r="CP17" s="123">
        <f t="shared" si="38"/>
        <v>47</v>
      </c>
      <c r="CQ17" s="123">
        <f t="shared" si="39"/>
        <v>4.1900000000000004</v>
      </c>
      <c r="CR17" s="123">
        <f t="shared" si="40"/>
        <v>47.7</v>
      </c>
      <c r="CS17" s="123">
        <f t="shared" si="41"/>
        <v>3.46</v>
      </c>
      <c r="CT17" s="123">
        <f t="shared" si="42"/>
        <v>54.9</v>
      </c>
      <c r="CU17" s="123">
        <f t="shared" si="43"/>
        <v>5.2</v>
      </c>
      <c r="CV17" s="123">
        <f t="shared" si="44"/>
        <v>56.2</v>
      </c>
      <c r="CW17" s="123">
        <f t="shared" si="45"/>
        <v>4.1900000000000004</v>
      </c>
      <c r="CX17" s="123">
        <f t="shared" si="46"/>
        <v>57.2</v>
      </c>
      <c r="CY17" s="123">
        <f t="shared" si="47"/>
        <v>3.46</v>
      </c>
      <c r="CZ17" s="123">
        <f t="shared" si="48"/>
        <v>64</v>
      </c>
      <c r="DA17" s="123">
        <f t="shared" si="49"/>
        <v>5.25</v>
      </c>
      <c r="DB17" s="123">
        <f t="shared" si="50"/>
        <v>64.7</v>
      </c>
      <c r="DC17" s="123">
        <f t="shared" si="51"/>
        <v>4.17</v>
      </c>
      <c r="DD17" s="123">
        <f t="shared" si="52"/>
        <v>64</v>
      </c>
      <c r="DE17" s="123">
        <f t="shared" si="53"/>
        <v>3.26</v>
      </c>
      <c r="DF17" s="123">
        <f t="shared" si="54"/>
        <v>72.8</v>
      </c>
      <c r="DG17" s="123">
        <f t="shared" si="55"/>
        <v>5.01</v>
      </c>
      <c r="DH17" s="123">
        <f t="shared" si="56"/>
        <v>74.099999999999994</v>
      </c>
      <c r="DI17" s="123">
        <f t="shared" si="57"/>
        <v>4.05</v>
      </c>
      <c r="DJ17" s="123">
        <f t="shared" si="58"/>
        <v>73.900000000000006</v>
      </c>
      <c r="DK17" s="123">
        <f t="shared" si="59"/>
        <v>3.34</v>
      </c>
      <c r="DL17" s="123">
        <f t="shared" si="60"/>
        <v>78.3</v>
      </c>
      <c r="DM17" s="123">
        <f t="shared" si="61"/>
        <v>5.0599999999999996</v>
      </c>
      <c r="DN17" s="123">
        <f t="shared" si="62"/>
        <v>80.3</v>
      </c>
      <c r="DO17" s="123">
        <f t="shared" si="63"/>
        <v>4.16</v>
      </c>
      <c r="DP17" s="123">
        <f t="shared" si="64"/>
        <v>81.099999999999994</v>
      </c>
      <c r="DQ17" s="123">
        <f t="shared" si="65"/>
        <v>3.49</v>
      </c>
      <c r="DR17" s="124">
        <f t="shared" si="66"/>
        <v>44.6</v>
      </c>
      <c r="DS17" s="124">
        <f t="shared" si="67"/>
        <v>4.5</v>
      </c>
      <c r="DT17" s="124">
        <f t="shared" si="68"/>
        <v>42.8</v>
      </c>
      <c r="DU17" s="124">
        <f t="shared" si="69"/>
        <v>3.5</v>
      </c>
      <c r="DV17" s="124">
        <f t="shared" si="70"/>
        <v>41</v>
      </c>
      <c r="DW17" s="124">
        <f t="shared" si="71"/>
        <v>2.9</v>
      </c>
      <c r="DX17" s="124">
        <f t="shared" si="72"/>
        <v>59.6</v>
      </c>
      <c r="DY17" s="124">
        <f t="shared" si="73"/>
        <v>4.8</v>
      </c>
      <c r="DZ17" s="124">
        <f t="shared" si="74"/>
        <v>56.8</v>
      </c>
      <c r="EA17" s="124">
        <f t="shared" si="75"/>
        <v>3.8</v>
      </c>
      <c r="EB17" s="124">
        <f t="shared" si="76"/>
        <v>54</v>
      </c>
      <c r="EC17" s="124">
        <f t="shared" si="77"/>
        <v>2.9</v>
      </c>
      <c r="ED17" s="124">
        <f t="shared" si="78"/>
        <v>86.7</v>
      </c>
      <c r="EE17" s="124">
        <f t="shared" si="79"/>
        <v>4.8</v>
      </c>
      <c r="EF17" s="124">
        <f t="shared" si="80"/>
        <v>83.35</v>
      </c>
      <c r="EG17" s="124">
        <f t="shared" si="81"/>
        <v>3.7</v>
      </c>
      <c r="EH17" s="124">
        <f t="shared" si="82"/>
        <v>80</v>
      </c>
      <c r="EI17" s="124">
        <f t="shared" si="83"/>
        <v>2.9</v>
      </c>
      <c r="EJ17" s="102">
        <v>5.8</v>
      </c>
      <c r="EK17" s="102">
        <v>4.4000000000000004</v>
      </c>
      <c r="EL17" s="102">
        <v>5.5</v>
      </c>
      <c r="EM17" s="102">
        <v>3.4</v>
      </c>
      <c r="EN17" s="102">
        <v>5.3</v>
      </c>
      <c r="EO17" s="102">
        <v>2.7</v>
      </c>
      <c r="EP17" s="102">
        <v>7.6</v>
      </c>
      <c r="EQ17" s="102">
        <v>4.7</v>
      </c>
      <c r="ER17" s="102">
        <v>7.3</v>
      </c>
      <c r="ES17" s="102">
        <v>3.6</v>
      </c>
      <c r="ET17" s="102">
        <v>6.9</v>
      </c>
      <c r="EU17" s="102">
        <v>2.8</v>
      </c>
      <c r="EV17" s="102">
        <v>10.4</v>
      </c>
      <c r="EW17" s="102">
        <v>4.8</v>
      </c>
      <c r="EX17" s="102">
        <v>10</v>
      </c>
      <c r="EY17" s="102">
        <v>3.8</v>
      </c>
      <c r="EZ17" s="102">
        <v>9.4</v>
      </c>
      <c r="FA17" s="102">
        <v>2.8</v>
      </c>
      <c r="FB17" s="102">
        <v>13.3</v>
      </c>
      <c r="FC17" s="102">
        <v>4.8</v>
      </c>
      <c r="FD17" s="102">
        <v>12.8</v>
      </c>
      <c r="FE17" s="102">
        <v>3.8</v>
      </c>
      <c r="FF17" s="102">
        <v>12.1</v>
      </c>
      <c r="FG17" s="102">
        <v>2.9</v>
      </c>
      <c r="FH17" s="102">
        <v>17</v>
      </c>
      <c r="FI17" s="102">
        <v>4.7</v>
      </c>
      <c r="FJ17" s="102">
        <v>16.100000000000001</v>
      </c>
      <c r="FK17" s="102">
        <v>3.6</v>
      </c>
      <c r="FL17" s="102">
        <v>15.2</v>
      </c>
      <c r="FM17" s="102">
        <v>2.8</v>
      </c>
    </row>
    <row r="18" spans="1:169" s="89" customFormat="1" x14ac:dyDescent="0.25">
      <c r="A18" s="89">
        <v>-14</v>
      </c>
      <c r="B18" s="120">
        <v>3.67875</v>
      </c>
      <c r="C18" s="120">
        <v>2.4775</v>
      </c>
      <c r="D18" s="120">
        <v>5.0324999999999998</v>
      </c>
      <c r="E18" s="120">
        <v>2.4874999999999998</v>
      </c>
      <c r="F18" s="120">
        <v>6.8725000000000005</v>
      </c>
      <c r="G18" s="120">
        <v>2.5787499999999999</v>
      </c>
      <c r="H18" s="120">
        <v>8.6399999999999988</v>
      </c>
      <c r="I18" s="120">
        <v>2.3649999999999998</v>
      </c>
      <c r="J18" s="120">
        <v>10.54125</v>
      </c>
      <c r="K18" s="120">
        <v>2.375</v>
      </c>
      <c r="L18" s="120">
        <v>3.6062500000000002</v>
      </c>
      <c r="M18" s="120">
        <v>2.1312499999999996</v>
      </c>
      <c r="N18" s="120">
        <v>4.8062500000000004</v>
      </c>
      <c r="O18" s="120">
        <v>2.2737500000000002</v>
      </c>
      <c r="P18" s="120">
        <v>6.79</v>
      </c>
      <c r="Q18" s="120">
        <v>2.1712499999999997</v>
      </c>
      <c r="R18" s="120">
        <v>8.567499999999999</v>
      </c>
      <c r="S18" s="120">
        <v>2.0487499999999996</v>
      </c>
      <c r="T18" s="120">
        <v>9.7562499999999996</v>
      </c>
      <c r="U18" s="120">
        <v>2.0487499999999996</v>
      </c>
      <c r="V18" s="120">
        <v>3.4099999999999997</v>
      </c>
      <c r="W18" s="120">
        <v>1.6724999999999999</v>
      </c>
      <c r="X18" s="120">
        <v>4.25875</v>
      </c>
      <c r="Y18" s="120">
        <v>1.7737499999999999</v>
      </c>
      <c r="Z18" s="120">
        <v>5.6425000000000001</v>
      </c>
      <c r="AA18" s="120">
        <v>1.825</v>
      </c>
      <c r="AB18" s="120">
        <v>8.02</v>
      </c>
      <c r="AC18" s="120">
        <v>1.6412500000000001</v>
      </c>
      <c r="AD18" s="120">
        <v>8.7025000000000006</v>
      </c>
      <c r="AE18" s="120">
        <v>1.6312500000000001</v>
      </c>
      <c r="AF18" s="125">
        <f>(AF$20-AF$17)/3+AF17</f>
        <v>26.41632183908046</v>
      </c>
      <c r="AG18" s="125">
        <f t="shared" ref="AG18:AW19" si="86">(AG$20-AG$17)/3+AG17</f>
        <v>2.6233333333333335</v>
      </c>
      <c r="AH18" s="125">
        <f t="shared" si="86"/>
        <v>30.646666666666665</v>
      </c>
      <c r="AI18" s="125">
        <f t="shared" si="86"/>
        <v>2.7133333333333334</v>
      </c>
      <c r="AJ18" s="125">
        <f t="shared" si="86"/>
        <v>39.631149425287362</v>
      </c>
      <c r="AK18" s="125">
        <f t="shared" si="86"/>
        <v>2.5933333333333333</v>
      </c>
      <c r="AL18" s="125">
        <f t="shared" si="86"/>
        <v>22.529885057471265</v>
      </c>
      <c r="AM18" s="125">
        <f t="shared" si="86"/>
        <v>2.17</v>
      </c>
      <c r="AN18" s="125">
        <f t="shared" si="86"/>
        <v>26.133333333333333</v>
      </c>
      <c r="AO18" s="125">
        <f t="shared" si="86"/>
        <v>2.2599999999999998</v>
      </c>
      <c r="AP18" s="125">
        <f t="shared" si="86"/>
        <v>33.791494252873562</v>
      </c>
      <c r="AQ18" s="125">
        <f t="shared" si="86"/>
        <v>2.14</v>
      </c>
      <c r="AR18" s="125">
        <f t="shared" si="86"/>
        <v>20.485747126436781</v>
      </c>
      <c r="AS18" s="125">
        <f t="shared" si="86"/>
        <v>1.7666666666666666</v>
      </c>
      <c r="AT18" s="125">
        <f t="shared" si="86"/>
        <v>23.76</v>
      </c>
      <c r="AU18" s="125">
        <f t="shared" si="86"/>
        <v>1.8566666666666667</v>
      </c>
      <c r="AV18" s="125">
        <f t="shared" si="86"/>
        <v>30.725287356321839</v>
      </c>
      <c r="AW18" s="125">
        <f t="shared" si="86"/>
        <v>1.7366666666666666</v>
      </c>
      <c r="AX18" s="122">
        <f>(AX$22-AX$17)/5+AX17</f>
        <v>3.9580000000000002</v>
      </c>
      <c r="AY18" s="122">
        <f t="shared" ref="AY18:BU21" si="87">(AY$22-AY$17)/5+AY17</f>
        <v>2.8660000000000001</v>
      </c>
      <c r="AZ18" s="122">
        <f t="shared" si="87"/>
        <v>4.7640000000000002</v>
      </c>
      <c r="BA18" s="122">
        <f t="shared" si="87"/>
        <v>2.6760000000000002</v>
      </c>
      <c r="BB18" s="122">
        <f t="shared" si="87"/>
        <v>6.07</v>
      </c>
      <c r="BC18" s="122">
        <f t="shared" si="87"/>
        <v>2.504</v>
      </c>
      <c r="BD18" s="122">
        <f t="shared" si="87"/>
        <v>10.598000000000001</v>
      </c>
      <c r="BE18" s="122">
        <f t="shared" si="87"/>
        <v>2.9159999999999999</v>
      </c>
      <c r="BF18" s="122">
        <f t="shared" si="87"/>
        <v>3.82</v>
      </c>
      <c r="BG18" s="122">
        <f t="shared" si="87"/>
        <v>2.4859999999999998</v>
      </c>
      <c r="BH18" s="122">
        <f t="shared" si="87"/>
        <v>4.7880000000000003</v>
      </c>
      <c r="BI18" s="122">
        <f t="shared" si="87"/>
        <v>2.3220000000000001</v>
      </c>
      <c r="BJ18" s="122">
        <f t="shared" si="87"/>
        <v>6.1479999999999997</v>
      </c>
      <c r="BK18" s="122">
        <f t="shared" si="87"/>
        <v>2.1800000000000002</v>
      </c>
      <c r="BL18" s="122">
        <f t="shared" si="87"/>
        <v>10.488000000000001</v>
      </c>
      <c r="BM18" s="122">
        <f t="shared" si="87"/>
        <v>2.444</v>
      </c>
      <c r="BN18" s="122">
        <f t="shared" si="87"/>
        <v>3.6880000000000002</v>
      </c>
      <c r="BO18" s="122">
        <f t="shared" si="87"/>
        <v>2.1480000000000001</v>
      </c>
      <c r="BP18" s="122">
        <f t="shared" si="87"/>
        <v>4.7939999999999996</v>
      </c>
      <c r="BQ18" s="122">
        <f t="shared" si="87"/>
        <v>2.0099999999999998</v>
      </c>
      <c r="BR18" s="122">
        <f t="shared" si="87"/>
        <v>6.2039999999999997</v>
      </c>
      <c r="BS18" s="122">
        <f t="shared" si="87"/>
        <v>1.9139999999999999</v>
      </c>
      <c r="BT18" s="122">
        <f t="shared" si="87"/>
        <v>10.308</v>
      </c>
      <c r="BU18" s="122">
        <f t="shared" si="87"/>
        <v>2.0840000000000001</v>
      </c>
      <c r="BV18" s="123">
        <f t="shared" si="18"/>
        <v>22.9</v>
      </c>
      <c r="BW18" s="123">
        <f t="shared" si="19"/>
        <v>5.31</v>
      </c>
      <c r="BX18" s="123">
        <f t="shared" si="20"/>
        <v>23.1</v>
      </c>
      <c r="BY18" s="123">
        <f t="shared" si="21"/>
        <v>4.21</v>
      </c>
      <c r="BZ18" s="123">
        <f t="shared" si="22"/>
        <v>23.3</v>
      </c>
      <c r="CA18" s="123">
        <f t="shared" si="23"/>
        <v>3.44</v>
      </c>
      <c r="CB18" s="123">
        <f t="shared" si="24"/>
        <v>28.9</v>
      </c>
      <c r="CC18" s="123">
        <f t="shared" si="25"/>
        <v>5.34</v>
      </c>
      <c r="CD18" s="123">
        <f t="shared" si="26"/>
        <v>29.1</v>
      </c>
      <c r="CE18" s="123">
        <f t="shared" si="27"/>
        <v>4.22</v>
      </c>
      <c r="CF18" s="123">
        <f t="shared" si="28"/>
        <v>29.3</v>
      </c>
      <c r="CG18" s="123">
        <f t="shared" si="29"/>
        <v>3.37</v>
      </c>
      <c r="CH18" s="123">
        <f t="shared" si="30"/>
        <v>38.700000000000003</v>
      </c>
      <c r="CI18" s="123">
        <f t="shared" si="31"/>
        <v>4.8899999999999997</v>
      </c>
      <c r="CJ18" s="123">
        <f t="shared" si="32"/>
        <v>38.5</v>
      </c>
      <c r="CK18" s="123">
        <f t="shared" si="33"/>
        <v>4.21</v>
      </c>
      <c r="CL18" s="123">
        <f t="shared" si="34"/>
        <v>38.799999999999997</v>
      </c>
      <c r="CM18" s="123">
        <f t="shared" si="35"/>
        <v>3.36</v>
      </c>
      <c r="CN18" s="123">
        <f t="shared" si="36"/>
        <v>47.5</v>
      </c>
      <c r="CO18" s="123">
        <f t="shared" si="37"/>
        <v>5.2</v>
      </c>
      <c r="CP18" s="123">
        <f t="shared" si="38"/>
        <v>47</v>
      </c>
      <c r="CQ18" s="123">
        <f t="shared" si="39"/>
        <v>4.1900000000000004</v>
      </c>
      <c r="CR18" s="123">
        <f t="shared" si="40"/>
        <v>47.7</v>
      </c>
      <c r="CS18" s="123">
        <f t="shared" si="41"/>
        <v>3.46</v>
      </c>
      <c r="CT18" s="123">
        <f t="shared" si="42"/>
        <v>54.9</v>
      </c>
      <c r="CU18" s="123">
        <f t="shared" si="43"/>
        <v>5.2</v>
      </c>
      <c r="CV18" s="123">
        <f t="shared" si="44"/>
        <v>56.2</v>
      </c>
      <c r="CW18" s="123">
        <f t="shared" si="45"/>
        <v>4.1900000000000004</v>
      </c>
      <c r="CX18" s="123">
        <f t="shared" si="46"/>
        <v>57.2</v>
      </c>
      <c r="CY18" s="123">
        <f t="shared" si="47"/>
        <v>3.46</v>
      </c>
      <c r="CZ18" s="123">
        <f t="shared" si="48"/>
        <v>64</v>
      </c>
      <c r="DA18" s="123">
        <f t="shared" si="49"/>
        <v>5.25</v>
      </c>
      <c r="DB18" s="123">
        <f t="shared" si="50"/>
        <v>64.7</v>
      </c>
      <c r="DC18" s="123">
        <f t="shared" si="51"/>
        <v>4.17</v>
      </c>
      <c r="DD18" s="123">
        <f t="shared" si="52"/>
        <v>64</v>
      </c>
      <c r="DE18" s="123">
        <f t="shared" si="53"/>
        <v>3.26</v>
      </c>
      <c r="DF18" s="123">
        <f t="shared" si="54"/>
        <v>72.8</v>
      </c>
      <c r="DG18" s="123">
        <f t="shared" si="55"/>
        <v>5.01</v>
      </c>
      <c r="DH18" s="123">
        <f t="shared" si="56"/>
        <v>74.099999999999994</v>
      </c>
      <c r="DI18" s="123">
        <f t="shared" si="57"/>
        <v>4.05</v>
      </c>
      <c r="DJ18" s="123">
        <f t="shared" si="58"/>
        <v>73.900000000000006</v>
      </c>
      <c r="DK18" s="123">
        <f t="shared" si="59"/>
        <v>3.34</v>
      </c>
      <c r="DL18" s="123">
        <f t="shared" si="60"/>
        <v>78.3</v>
      </c>
      <c r="DM18" s="123">
        <f t="shared" si="61"/>
        <v>5.0599999999999996</v>
      </c>
      <c r="DN18" s="123">
        <f t="shared" si="62"/>
        <v>80.3</v>
      </c>
      <c r="DO18" s="123">
        <f t="shared" si="63"/>
        <v>4.16</v>
      </c>
      <c r="DP18" s="123">
        <f t="shared" si="64"/>
        <v>81.099999999999994</v>
      </c>
      <c r="DQ18" s="123">
        <f t="shared" si="65"/>
        <v>3.49</v>
      </c>
      <c r="DR18" s="124">
        <f t="shared" si="66"/>
        <v>44.6</v>
      </c>
      <c r="DS18" s="124">
        <f t="shared" si="67"/>
        <v>4.5</v>
      </c>
      <c r="DT18" s="124">
        <f t="shared" si="68"/>
        <v>42.8</v>
      </c>
      <c r="DU18" s="124">
        <f t="shared" si="69"/>
        <v>3.5</v>
      </c>
      <c r="DV18" s="124">
        <f t="shared" si="70"/>
        <v>41</v>
      </c>
      <c r="DW18" s="124">
        <f t="shared" si="71"/>
        <v>2.9</v>
      </c>
      <c r="DX18" s="124">
        <f t="shared" si="72"/>
        <v>59.6</v>
      </c>
      <c r="DY18" s="124">
        <f t="shared" si="73"/>
        <v>4.8</v>
      </c>
      <c r="DZ18" s="124">
        <f t="shared" si="74"/>
        <v>56.8</v>
      </c>
      <c r="EA18" s="124">
        <f t="shared" si="75"/>
        <v>3.8</v>
      </c>
      <c r="EB18" s="124">
        <f t="shared" si="76"/>
        <v>54</v>
      </c>
      <c r="EC18" s="124">
        <f t="shared" si="77"/>
        <v>2.9</v>
      </c>
      <c r="ED18" s="124">
        <f t="shared" si="78"/>
        <v>86.7</v>
      </c>
      <c r="EE18" s="124">
        <f t="shared" si="79"/>
        <v>4.8</v>
      </c>
      <c r="EF18" s="124">
        <f t="shared" si="80"/>
        <v>83.35</v>
      </c>
      <c r="EG18" s="124">
        <f t="shared" si="81"/>
        <v>3.7</v>
      </c>
      <c r="EH18" s="124">
        <f t="shared" si="82"/>
        <v>80</v>
      </c>
      <c r="EI18" s="124">
        <f t="shared" si="83"/>
        <v>2.9</v>
      </c>
      <c r="EJ18" s="102">
        <v>5.8</v>
      </c>
      <c r="EK18" s="102">
        <v>4.4000000000000004</v>
      </c>
      <c r="EL18" s="102">
        <v>5.5</v>
      </c>
      <c r="EM18" s="102">
        <v>3.4</v>
      </c>
      <c r="EN18" s="102">
        <v>5.3</v>
      </c>
      <c r="EO18" s="102">
        <v>2.7</v>
      </c>
      <c r="EP18" s="102">
        <v>7.6</v>
      </c>
      <c r="EQ18" s="102">
        <v>4.7</v>
      </c>
      <c r="ER18" s="102">
        <v>7.3</v>
      </c>
      <c r="ES18" s="102">
        <v>3.6</v>
      </c>
      <c r="ET18" s="102">
        <v>6.9</v>
      </c>
      <c r="EU18" s="102">
        <v>2.8</v>
      </c>
      <c r="EV18" s="102">
        <v>10.4</v>
      </c>
      <c r="EW18" s="102">
        <v>4.8</v>
      </c>
      <c r="EX18" s="102">
        <v>10</v>
      </c>
      <c r="EY18" s="102">
        <v>3.8</v>
      </c>
      <c r="EZ18" s="102">
        <v>9.4</v>
      </c>
      <c r="FA18" s="102">
        <v>2.8</v>
      </c>
      <c r="FB18" s="102">
        <v>13.3</v>
      </c>
      <c r="FC18" s="102">
        <v>4.8</v>
      </c>
      <c r="FD18" s="102">
        <v>12.8</v>
      </c>
      <c r="FE18" s="102">
        <v>3.8</v>
      </c>
      <c r="FF18" s="102">
        <v>12.1</v>
      </c>
      <c r="FG18" s="102">
        <v>2.9</v>
      </c>
      <c r="FH18" s="102">
        <v>17</v>
      </c>
      <c r="FI18" s="102">
        <v>4.7</v>
      </c>
      <c r="FJ18" s="102">
        <v>16.100000000000001</v>
      </c>
      <c r="FK18" s="102">
        <v>3.6</v>
      </c>
      <c r="FL18" s="102">
        <v>15.2</v>
      </c>
      <c r="FM18" s="102">
        <v>2.8</v>
      </c>
    </row>
    <row r="19" spans="1:169" s="89" customFormat="1" x14ac:dyDescent="0.25">
      <c r="A19" s="89">
        <v>-13</v>
      </c>
      <c r="B19" s="120">
        <v>3.7974999999999999</v>
      </c>
      <c r="C19" s="120">
        <v>2.5250000000000004</v>
      </c>
      <c r="D19" s="120">
        <v>5.1950000000000003</v>
      </c>
      <c r="E19" s="120">
        <v>2.5350000000000001</v>
      </c>
      <c r="F19" s="120">
        <v>7.0950000000000006</v>
      </c>
      <c r="G19" s="120">
        <v>2.6274999999999999</v>
      </c>
      <c r="H19" s="120">
        <v>8.92</v>
      </c>
      <c r="I19" s="120">
        <v>2.41</v>
      </c>
      <c r="J19" s="120">
        <v>10.8825</v>
      </c>
      <c r="K19" s="120">
        <v>2.42</v>
      </c>
      <c r="L19" s="120">
        <v>3.7225000000000001</v>
      </c>
      <c r="M19" s="120">
        <v>2.1724999999999999</v>
      </c>
      <c r="N19" s="120">
        <v>4.9625000000000004</v>
      </c>
      <c r="O19" s="120">
        <v>2.3174999999999999</v>
      </c>
      <c r="P19" s="120">
        <v>7.01</v>
      </c>
      <c r="Q19" s="120">
        <v>2.2124999999999999</v>
      </c>
      <c r="R19" s="120">
        <v>8.8449999999999989</v>
      </c>
      <c r="S19" s="120">
        <v>2.0874999999999999</v>
      </c>
      <c r="T19" s="120">
        <v>10.0725</v>
      </c>
      <c r="U19" s="120">
        <v>2.0874999999999999</v>
      </c>
      <c r="V19" s="120">
        <v>3.5199999999999996</v>
      </c>
      <c r="W19" s="120">
        <v>1.7049999999999998</v>
      </c>
      <c r="X19" s="120">
        <v>4.3975</v>
      </c>
      <c r="Y19" s="120">
        <v>1.8074999999999999</v>
      </c>
      <c r="Z19" s="120">
        <v>5.8250000000000002</v>
      </c>
      <c r="AA19" s="120">
        <v>1.8599999999999999</v>
      </c>
      <c r="AB19" s="120">
        <v>8.2799999999999994</v>
      </c>
      <c r="AC19" s="120">
        <v>1.6725000000000001</v>
      </c>
      <c r="AD19" s="120">
        <v>8.9849999999999994</v>
      </c>
      <c r="AE19" s="120">
        <v>1.6625000000000001</v>
      </c>
      <c r="AF19" s="125">
        <f>(AF$20-AF$17)/3+AF18</f>
        <v>28.49264367816092</v>
      </c>
      <c r="AG19" s="125">
        <f t="shared" si="86"/>
        <v>2.706666666666667</v>
      </c>
      <c r="AH19" s="125">
        <f t="shared" si="86"/>
        <v>33.053333333333335</v>
      </c>
      <c r="AI19" s="125">
        <f t="shared" si="86"/>
        <v>2.7966666666666669</v>
      </c>
      <c r="AJ19" s="125">
        <f t="shared" si="86"/>
        <v>42.74229885057472</v>
      </c>
      <c r="AK19" s="125">
        <f t="shared" si="86"/>
        <v>2.6766666666666667</v>
      </c>
      <c r="AL19" s="125">
        <f t="shared" si="86"/>
        <v>24.609770114942531</v>
      </c>
      <c r="AM19" s="125">
        <f t="shared" si="86"/>
        <v>2.2399999999999998</v>
      </c>
      <c r="AN19" s="125">
        <f t="shared" si="86"/>
        <v>28.546666666666667</v>
      </c>
      <c r="AO19" s="125">
        <f t="shared" si="86"/>
        <v>2.3299999999999996</v>
      </c>
      <c r="AP19" s="125">
        <f t="shared" si="86"/>
        <v>36.912988505747123</v>
      </c>
      <c r="AQ19" s="125">
        <f t="shared" si="86"/>
        <v>2.2100000000000004</v>
      </c>
      <c r="AR19" s="125">
        <f t="shared" si="86"/>
        <v>22.501494252873563</v>
      </c>
      <c r="AS19" s="125">
        <f t="shared" si="86"/>
        <v>1.8233333333333333</v>
      </c>
      <c r="AT19" s="125">
        <f t="shared" si="86"/>
        <v>26.1</v>
      </c>
      <c r="AU19" s="125">
        <f t="shared" si="86"/>
        <v>1.9133333333333333</v>
      </c>
      <c r="AV19" s="125">
        <f t="shared" si="86"/>
        <v>33.750574712643676</v>
      </c>
      <c r="AW19" s="125">
        <f t="shared" si="86"/>
        <v>1.7933333333333332</v>
      </c>
      <c r="AX19" s="122">
        <f t="shared" ref="AX19:AX21" si="88">(AX$22-AX$17)/5+AX18</f>
        <v>3.9560000000000004</v>
      </c>
      <c r="AY19" s="122">
        <f t="shared" si="87"/>
        <v>2.8420000000000001</v>
      </c>
      <c r="AZ19" s="122">
        <f t="shared" si="87"/>
        <v>4.9080000000000004</v>
      </c>
      <c r="BA19" s="122">
        <f t="shared" si="87"/>
        <v>2.7320000000000002</v>
      </c>
      <c r="BB19" s="122">
        <f t="shared" si="87"/>
        <v>6.0600000000000005</v>
      </c>
      <c r="BC19" s="122">
        <f t="shared" si="87"/>
        <v>2.488</v>
      </c>
      <c r="BD19" s="122">
        <f t="shared" si="87"/>
        <v>10.896000000000001</v>
      </c>
      <c r="BE19" s="122">
        <f t="shared" si="87"/>
        <v>2.972</v>
      </c>
      <c r="BF19" s="122">
        <f t="shared" si="87"/>
        <v>3.82</v>
      </c>
      <c r="BG19" s="122">
        <f t="shared" si="87"/>
        <v>2.4619999999999997</v>
      </c>
      <c r="BH19" s="122">
        <f t="shared" si="87"/>
        <v>4.9260000000000002</v>
      </c>
      <c r="BI19" s="122">
        <f t="shared" si="87"/>
        <v>2.3640000000000003</v>
      </c>
      <c r="BJ19" s="122">
        <f t="shared" si="87"/>
        <v>6.1259999999999994</v>
      </c>
      <c r="BK19" s="122">
        <f t="shared" si="87"/>
        <v>2.16</v>
      </c>
      <c r="BL19" s="122">
        <f t="shared" si="87"/>
        <v>10.766000000000002</v>
      </c>
      <c r="BM19" s="122">
        <f t="shared" si="87"/>
        <v>2.488</v>
      </c>
      <c r="BN19" s="122">
        <f t="shared" si="87"/>
        <v>3.6860000000000004</v>
      </c>
      <c r="BO19" s="122">
        <f t="shared" si="87"/>
        <v>2.1260000000000003</v>
      </c>
      <c r="BP19" s="122">
        <f t="shared" si="87"/>
        <v>4.9179999999999993</v>
      </c>
      <c r="BQ19" s="122">
        <f t="shared" si="87"/>
        <v>2.0399999999999996</v>
      </c>
      <c r="BR19" s="122">
        <f t="shared" si="87"/>
        <v>6.1679999999999993</v>
      </c>
      <c r="BS19" s="122">
        <f t="shared" si="87"/>
        <v>1.8879999999999999</v>
      </c>
      <c r="BT19" s="122">
        <f t="shared" si="87"/>
        <v>10.565999999999999</v>
      </c>
      <c r="BU19" s="122">
        <f t="shared" si="87"/>
        <v>2.1180000000000003</v>
      </c>
      <c r="BV19" s="123">
        <f>BV20</f>
        <v>22.9</v>
      </c>
      <c r="BW19" s="123">
        <f>BW20</f>
        <v>5.31</v>
      </c>
      <c r="BX19" s="123">
        <f t="shared" si="20"/>
        <v>23.1</v>
      </c>
      <c r="BY19" s="123">
        <f t="shared" si="21"/>
        <v>4.21</v>
      </c>
      <c r="BZ19" s="123">
        <f t="shared" si="22"/>
        <v>23.3</v>
      </c>
      <c r="CA19" s="123">
        <f t="shared" si="23"/>
        <v>3.44</v>
      </c>
      <c r="CB19" s="123">
        <f t="shared" si="24"/>
        <v>28.9</v>
      </c>
      <c r="CC19" s="123">
        <f t="shared" si="25"/>
        <v>5.34</v>
      </c>
      <c r="CD19" s="123">
        <f t="shared" si="26"/>
        <v>29.1</v>
      </c>
      <c r="CE19" s="123">
        <f t="shared" si="27"/>
        <v>4.22</v>
      </c>
      <c r="CF19" s="123">
        <f t="shared" si="28"/>
        <v>29.3</v>
      </c>
      <c r="CG19" s="123">
        <f t="shared" si="29"/>
        <v>3.37</v>
      </c>
      <c r="CH19" s="123">
        <f t="shared" si="30"/>
        <v>38.700000000000003</v>
      </c>
      <c r="CI19" s="123">
        <f t="shared" si="31"/>
        <v>4.8899999999999997</v>
      </c>
      <c r="CJ19" s="123">
        <f t="shared" si="32"/>
        <v>38.5</v>
      </c>
      <c r="CK19" s="123">
        <f t="shared" si="33"/>
        <v>4.21</v>
      </c>
      <c r="CL19" s="123">
        <f t="shared" si="34"/>
        <v>38.799999999999997</v>
      </c>
      <c r="CM19" s="123">
        <f t="shared" si="35"/>
        <v>3.36</v>
      </c>
      <c r="CN19" s="123">
        <f t="shared" si="36"/>
        <v>47.5</v>
      </c>
      <c r="CO19" s="123">
        <f t="shared" si="37"/>
        <v>5.2</v>
      </c>
      <c r="CP19" s="123">
        <f t="shared" si="38"/>
        <v>47</v>
      </c>
      <c r="CQ19" s="123">
        <f t="shared" si="39"/>
        <v>4.1900000000000004</v>
      </c>
      <c r="CR19" s="123">
        <f t="shared" si="40"/>
        <v>47.7</v>
      </c>
      <c r="CS19" s="123">
        <f t="shared" si="41"/>
        <v>3.46</v>
      </c>
      <c r="CT19" s="123">
        <f t="shared" si="42"/>
        <v>54.9</v>
      </c>
      <c r="CU19" s="123">
        <f t="shared" si="43"/>
        <v>5.2</v>
      </c>
      <c r="CV19" s="123">
        <f t="shared" si="44"/>
        <v>56.2</v>
      </c>
      <c r="CW19" s="123">
        <f t="shared" si="45"/>
        <v>4.1900000000000004</v>
      </c>
      <c r="CX19" s="123">
        <f t="shared" si="46"/>
        <v>57.2</v>
      </c>
      <c r="CY19" s="123">
        <f t="shared" si="47"/>
        <v>3.46</v>
      </c>
      <c r="CZ19" s="123">
        <f t="shared" si="48"/>
        <v>64</v>
      </c>
      <c r="DA19" s="123">
        <f t="shared" si="49"/>
        <v>5.25</v>
      </c>
      <c r="DB19" s="123">
        <f t="shared" si="50"/>
        <v>64.7</v>
      </c>
      <c r="DC19" s="123">
        <f t="shared" si="51"/>
        <v>4.17</v>
      </c>
      <c r="DD19" s="123">
        <f t="shared" si="52"/>
        <v>64</v>
      </c>
      <c r="DE19" s="123">
        <f t="shared" si="53"/>
        <v>3.26</v>
      </c>
      <c r="DF19" s="123">
        <f t="shared" si="54"/>
        <v>72.8</v>
      </c>
      <c r="DG19" s="123">
        <f t="shared" si="55"/>
        <v>5.01</v>
      </c>
      <c r="DH19" s="123">
        <f t="shared" si="56"/>
        <v>74.099999999999994</v>
      </c>
      <c r="DI19" s="123">
        <f t="shared" si="57"/>
        <v>4.05</v>
      </c>
      <c r="DJ19" s="123">
        <f t="shared" si="58"/>
        <v>73.900000000000006</v>
      </c>
      <c r="DK19" s="123">
        <f t="shared" si="59"/>
        <v>3.34</v>
      </c>
      <c r="DL19" s="123">
        <f t="shared" si="60"/>
        <v>78.3</v>
      </c>
      <c r="DM19" s="123">
        <f t="shared" si="61"/>
        <v>5.0599999999999996</v>
      </c>
      <c r="DN19" s="123">
        <f t="shared" si="62"/>
        <v>80.3</v>
      </c>
      <c r="DO19" s="123">
        <f t="shared" si="63"/>
        <v>4.16</v>
      </c>
      <c r="DP19" s="123">
        <f t="shared" si="64"/>
        <v>81.099999999999994</v>
      </c>
      <c r="DQ19" s="123">
        <f t="shared" si="65"/>
        <v>3.49</v>
      </c>
      <c r="DR19" s="124">
        <f t="shared" si="66"/>
        <v>44.6</v>
      </c>
      <c r="DS19" s="124">
        <f t="shared" si="67"/>
        <v>4.5</v>
      </c>
      <c r="DT19" s="124">
        <f t="shared" si="68"/>
        <v>42.8</v>
      </c>
      <c r="DU19" s="124">
        <f t="shared" si="69"/>
        <v>3.5</v>
      </c>
      <c r="DV19" s="124">
        <f t="shared" si="70"/>
        <v>41</v>
      </c>
      <c r="DW19" s="124">
        <f t="shared" si="71"/>
        <v>2.9</v>
      </c>
      <c r="DX19" s="124">
        <f t="shared" si="72"/>
        <v>59.6</v>
      </c>
      <c r="DY19" s="124">
        <f t="shared" si="73"/>
        <v>4.8</v>
      </c>
      <c r="DZ19" s="124">
        <f t="shared" si="74"/>
        <v>56.8</v>
      </c>
      <c r="EA19" s="124">
        <f t="shared" si="75"/>
        <v>3.8</v>
      </c>
      <c r="EB19" s="124">
        <f t="shared" si="76"/>
        <v>54</v>
      </c>
      <c r="EC19" s="124">
        <f t="shared" si="77"/>
        <v>2.9</v>
      </c>
      <c r="ED19" s="124">
        <f t="shared" si="78"/>
        <v>86.7</v>
      </c>
      <c r="EE19" s="124">
        <f t="shared" si="79"/>
        <v>4.8</v>
      </c>
      <c r="EF19" s="124">
        <f t="shared" si="80"/>
        <v>83.35</v>
      </c>
      <c r="EG19" s="124">
        <f t="shared" si="81"/>
        <v>3.7</v>
      </c>
      <c r="EH19" s="124">
        <f t="shared" si="82"/>
        <v>80</v>
      </c>
      <c r="EI19" s="124">
        <f t="shared" si="83"/>
        <v>2.9</v>
      </c>
      <c r="EJ19" s="102">
        <v>5.8</v>
      </c>
      <c r="EK19" s="102">
        <v>4.4000000000000004</v>
      </c>
      <c r="EL19" s="102">
        <v>5.5</v>
      </c>
      <c r="EM19" s="102">
        <v>3.4</v>
      </c>
      <c r="EN19" s="102">
        <v>5.3</v>
      </c>
      <c r="EO19" s="102">
        <v>2.7</v>
      </c>
      <c r="EP19" s="102">
        <v>7.6</v>
      </c>
      <c r="EQ19" s="102">
        <v>4.7</v>
      </c>
      <c r="ER19" s="102">
        <v>7.3</v>
      </c>
      <c r="ES19" s="102">
        <v>3.6</v>
      </c>
      <c r="ET19" s="102">
        <v>6.9</v>
      </c>
      <c r="EU19" s="102">
        <v>2.8</v>
      </c>
      <c r="EV19" s="102">
        <v>10.4</v>
      </c>
      <c r="EW19" s="102">
        <v>4.8</v>
      </c>
      <c r="EX19" s="102">
        <v>10</v>
      </c>
      <c r="EY19" s="102">
        <v>3.8</v>
      </c>
      <c r="EZ19" s="102">
        <v>9.4</v>
      </c>
      <c r="FA19" s="102">
        <v>2.8</v>
      </c>
      <c r="FB19" s="102">
        <v>13.3</v>
      </c>
      <c r="FC19" s="102">
        <v>4.8</v>
      </c>
      <c r="FD19" s="102">
        <v>12.8</v>
      </c>
      <c r="FE19" s="102">
        <v>3.8</v>
      </c>
      <c r="FF19" s="102">
        <v>12.1</v>
      </c>
      <c r="FG19" s="102">
        <v>2.9</v>
      </c>
      <c r="FH19" s="102">
        <v>17</v>
      </c>
      <c r="FI19" s="102">
        <v>4.7</v>
      </c>
      <c r="FJ19" s="102">
        <v>16.100000000000001</v>
      </c>
      <c r="FK19" s="102">
        <v>3.6</v>
      </c>
      <c r="FL19" s="102">
        <v>15.2</v>
      </c>
      <c r="FM19" s="102">
        <v>2.8</v>
      </c>
    </row>
    <row r="20" spans="1:169" s="89" customFormat="1" x14ac:dyDescent="0.25">
      <c r="A20" s="89">
        <v>-12</v>
      </c>
      <c r="B20" s="120">
        <v>3.9162499999999998</v>
      </c>
      <c r="C20" s="120">
        <v>2.5725000000000002</v>
      </c>
      <c r="D20" s="120">
        <v>5.3574999999999999</v>
      </c>
      <c r="E20" s="120">
        <v>2.5825</v>
      </c>
      <c r="F20" s="120">
        <v>7.3174999999999999</v>
      </c>
      <c r="G20" s="120">
        <v>2.67625</v>
      </c>
      <c r="H20" s="120">
        <v>9.1999999999999993</v>
      </c>
      <c r="I20" s="120">
        <v>2.4550000000000001</v>
      </c>
      <c r="J20" s="120">
        <v>11.223749999999999</v>
      </c>
      <c r="K20" s="120">
        <v>2.4649999999999999</v>
      </c>
      <c r="L20" s="120">
        <v>3.8387500000000001</v>
      </c>
      <c r="M20" s="120">
        <v>2.2137500000000001</v>
      </c>
      <c r="N20" s="120">
        <v>5.1187500000000004</v>
      </c>
      <c r="O20" s="120">
        <v>2.3612500000000001</v>
      </c>
      <c r="P20" s="120">
        <v>7.23</v>
      </c>
      <c r="Q20" s="120">
        <v>2.2537500000000001</v>
      </c>
      <c r="R20" s="120">
        <v>9.1224999999999987</v>
      </c>
      <c r="S20" s="120">
        <v>2.1262499999999998</v>
      </c>
      <c r="T20" s="120">
        <v>10.38875</v>
      </c>
      <c r="U20" s="120">
        <v>2.1262499999999998</v>
      </c>
      <c r="V20" s="120">
        <v>3.63</v>
      </c>
      <c r="W20" s="120">
        <v>1.7374999999999998</v>
      </c>
      <c r="X20" s="120">
        <v>4.5362499999999999</v>
      </c>
      <c r="Y20" s="120">
        <v>1.8412499999999998</v>
      </c>
      <c r="Z20" s="120">
        <v>6.0075000000000003</v>
      </c>
      <c r="AA20" s="120">
        <v>1.895</v>
      </c>
      <c r="AB20" s="120">
        <v>8.5399999999999991</v>
      </c>
      <c r="AC20" s="120">
        <v>1.7037500000000001</v>
      </c>
      <c r="AD20" s="120">
        <v>9.2675000000000001</v>
      </c>
      <c r="AE20" s="120">
        <v>1.6937500000000001</v>
      </c>
      <c r="AF20" s="125">
        <v>30.568965517241381</v>
      </c>
      <c r="AG20" s="125">
        <v>2.79</v>
      </c>
      <c r="AH20" s="125">
        <v>35.46</v>
      </c>
      <c r="AI20" s="125">
        <v>2.88</v>
      </c>
      <c r="AJ20" s="125">
        <v>45.853448275862071</v>
      </c>
      <c r="AK20" s="125">
        <v>2.7600000000000002</v>
      </c>
      <c r="AL20" s="125">
        <v>26.689655172413794</v>
      </c>
      <c r="AM20" s="125">
        <v>2.31</v>
      </c>
      <c r="AN20" s="125">
        <v>30.96</v>
      </c>
      <c r="AO20" s="125">
        <v>2.4</v>
      </c>
      <c r="AP20" s="125">
        <v>40.03448275862069</v>
      </c>
      <c r="AQ20" s="125">
        <v>2.2800000000000002</v>
      </c>
      <c r="AR20" s="125">
        <v>24.517241379310345</v>
      </c>
      <c r="AS20" s="125">
        <v>1.88</v>
      </c>
      <c r="AT20" s="125">
        <v>28.44</v>
      </c>
      <c r="AU20" s="125">
        <v>1.97</v>
      </c>
      <c r="AV20" s="125">
        <v>36.775862068965516</v>
      </c>
      <c r="AW20" s="125">
        <v>1.8499999999999999</v>
      </c>
      <c r="AX20" s="122">
        <f t="shared" si="88"/>
        <v>3.9540000000000006</v>
      </c>
      <c r="AY20" s="122">
        <f t="shared" si="87"/>
        <v>2.8180000000000001</v>
      </c>
      <c r="AZ20" s="122">
        <f t="shared" si="87"/>
        <v>5.0520000000000005</v>
      </c>
      <c r="BA20" s="122">
        <f t="shared" si="87"/>
        <v>2.7880000000000003</v>
      </c>
      <c r="BB20" s="122">
        <f t="shared" si="87"/>
        <v>6.0500000000000007</v>
      </c>
      <c r="BC20" s="122">
        <f t="shared" si="87"/>
        <v>2.472</v>
      </c>
      <c r="BD20" s="122">
        <f t="shared" si="87"/>
        <v>11.194000000000001</v>
      </c>
      <c r="BE20" s="122">
        <f t="shared" si="87"/>
        <v>3.028</v>
      </c>
      <c r="BF20" s="122">
        <f t="shared" si="87"/>
        <v>3.82</v>
      </c>
      <c r="BG20" s="122">
        <f t="shared" si="87"/>
        <v>2.4379999999999997</v>
      </c>
      <c r="BH20" s="122">
        <f t="shared" si="87"/>
        <v>5.0640000000000001</v>
      </c>
      <c r="BI20" s="122">
        <f t="shared" si="87"/>
        <v>2.4060000000000006</v>
      </c>
      <c r="BJ20" s="122">
        <f t="shared" si="87"/>
        <v>6.1039999999999992</v>
      </c>
      <c r="BK20" s="122">
        <f t="shared" si="87"/>
        <v>2.14</v>
      </c>
      <c r="BL20" s="122">
        <f t="shared" si="87"/>
        <v>11.044000000000002</v>
      </c>
      <c r="BM20" s="122">
        <f t="shared" si="87"/>
        <v>2.532</v>
      </c>
      <c r="BN20" s="122">
        <f t="shared" si="87"/>
        <v>3.6840000000000006</v>
      </c>
      <c r="BO20" s="122">
        <f t="shared" si="87"/>
        <v>2.1040000000000005</v>
      </c>
      <c r="BP20" s="122">
        <f t="shared" si="87"/>
        <v>5.0419999999999989</v>
      </c>
      <c r="BQ20" s="122">
        <f t="shared" si="87"/>
        <v>2.0699999999999994</v>
      </c>
      <c r="BR20" s="122">
        <f t="shared" si="87"/>
        <v>6.1319999999999988</v>
      </c>
      <c r="BS20" s="122">
        <f t="shared" si="87"/>
        <v>1.8619999999999999</v>
      </c>
      <c r="BT20" s="122">
        <f t="shared" si="87"/>
        <v>10.823999999999998</v>
      </c>
      <c r="BU20" s="122">
        <f t="shared" si="87"/>
        <v>2.1520000000000006</v>
      </c>
      <c r="BV20" s="123">
        <v>22.9</v>
      </c>
      <c r="BW20" s="123">
        <v>5.31</v>
      </c>
      <c r="BX20" s="123">
        <v>23.1</v>
      </c>
      <c r="BY20" s="123">
        <v>4.21</v>
      </c>
      <c r="BZ20" s="123">
        <v>23.3</v>
      </c>
      <c r="CA20" s="123">
        <v>3.44</v>
      </c>
      <c r="CB20" s="123">
        <v>28.9</v>
      </c>
      <c r="CC20" s="123">
        <v>5.34</v>
      </c>
      <c r="CD20" s="123">
        <v>29.1</v>
      </c>
      <c r="CE20" s="123">
        <v>4.22</v>
      </c>
      <c r="CF20" s="123">
        <v>29.3</v>
      </c>
      <c r="CG20" s="123">
        <v>3.37</v>
      </c>
      <c r="CH20" s="123">
        <v>38.700000000000003</v>
      </c>
      <c r="CI20" s="123">
        <v>4.8899999999999997</v>
      </c>
      <c r="CJ20" s="123">
        <v>38.5</v>
      </c>
      <c r="CK20" s="123">
        <v>4.21</v>
      </c>
      <c r="CL20" s="123">
        <v>38.799999999999997</v>
      </c>
      <c r="CM20" s="123">
        <v>3.36</v>
      </c>
      <c r="CN20" s="123">
        <v>47.5</v>
      </c>
      <c r="CO20" s="123">
        <v>5.2</v>
      </c>
      <c r="CP20" s="123">
        <v>47</v>
      </c>
      <c r="CQ20" s="123">
        <v>4.1900000000000004</v>
      </c>
      <c r="CR20" s="123">
        <v>47.7</v>
      </c>
      <c r="CS20" s="123">
        <v>3.46</v>
      </c>
      <c r="CT20" s="123">
        <v>54.9</v>
      </c>
      <c r="CU20" s="123">
        <v>5.2</v>
      </c>
      <c r="CV20" s="123">
        <v>56.2</v>
      </c>
      <c r="CW20" s="123">
        <v>4.1900000000000004</v>
      </c>
      <c r="CX20" s="123">
        <v>57.2</v>
      </c>
      <c r="CY20" s="123">
        <v>3.46</v>
      </c>
      <c r="CZ20" s="123">
        <v>64</v>
      </c>
      <c r="DA20" s="123">
        <v>5.25</v>
      </c>
      <c r="DB20" s="123">
        <v>64.7</v>
      </c>
      <c r="DC20" s="123">
        <v>4.17</v>
      </c>
      <c r="DD20" s="123">
        <v>64</v>
      </c>
      <c r="DE20" s="123">
        <v>3.26</v>
      </c>
      <c r="DF20" s="123">
        <v>72.8</v>
      </c>
      <c r="DG20" s="123">
        <v>5.01</v>
      </c>
      <c r="DH20" s="123">
        <v>74.099999999999994</v>
      </c>
      <c r="DI20" s="123">
        <v>4.05</v>
      </c>
      <c r="DJ20" s="123">
        <v>73.900000000000006</v>
      </c>
      <c r="DK20" s="123">
        <v>3.34</v>
      </c>
      <c r="DL20" s="123">
        <v>78.3</v>
      </c>
      <c r="DM20" s="123">
        <v>5.0599999999999996</v>
      </c>
      <c r="DN20" s="123">
        <v>80.3</v>
      </c>
      <c r="DO20" s="123">
        <v>4.16</v>
      </c>
      <c r="DP20" s="123">
        <v>81.099999999999994</v>
      </c>
      <c r="DQ20" s="123">
        <v>3.49</v>
      </c>
      <c r="DR20" s="124">
        <v>44.6</v>
      </c>
      <c r="DS20" s="124">
        <v>4.5</v>
      </c>
      <c r="DT20" s="124">
        <v>42.8</v>
      </c>
      <c r="DU20" s="124">
        <v>3.5</v>
      </c>
      <c r="DV20" s="124">
        <v>41</v>
      </c>
      <c r="DW20" s="124">
        <v>2.9</v>
      </c>
      <c r="DX20" s="124">
        <v>59.6</v>
      </c>
      <c r="DY20" s="124">
        <v>4.8</v>
      </c>
      <c r="DZ20" s="124">
        <v>56.8</v>
      </c>
      <c r="EA20" s="124">
        <v>3.8</v>
      </c>
      <c r="EB20" s="124">
        <v>54</v>
      </c>
      <c r="EC20" s="124">
        <v>2.9</v>
      </c>
      <c r="ED20" s="124">
        <v>86.7</v>
      </c>
      <c r="EE20" s="124">
        <v>4.8</v>
      </c>
      <c r="EF20" s="124">
        <v>83.35</v>
      </c>
      <c r="EG20" s="124">
        <v>3.7</v>
      </c>
      <c r="EH20" s="124">
        <v>80</v>
      </c>
      <c r="EI20" s="124">
        <v>2.9</v>
      </c>
      <c r="EJ20" s="102">
        <v>5.8</v>
      </c>
      <c r="EK20" s="102">
        <v>4.4000000000000004</v>
      </c>
      <c r="EL20" s="102">
        <v>5.5</v>
      </c>
      <c r="EM20" s="102">
        <v>3.4</v>
      </c>
      <c r="EN20" s="102">
        <v>5.3</v>
      </c>
      <c r="EO20" s="102">
        <v>2.7</v>
      </c>
      <c r="EP20" s="102">
        <v>7.6</v>
      </c>
      <c r="EQ20" s="102">
        <v>4.7</v>
      </c>
      <c r="ER20" s="102">
        <v>7.3</v>
      </c>
      <c r="ES20" s="102">
        <v>3.6</v>
      </c>
      <c r="ET20" s="102">
        <v>6.9</v>
      </c>
      <c r="EU20" s="102">
        <v>2.8</v>
      </c>
      <c r="EV20" s="102">
        <v>10.4</v>
      </c>
      <c r="EW20" s="102">
        <v>4.8</v>
      </c>
      <c r="EX20" s="102">
        <v>10</v>
      </c>
      <c r="EY20" s="102">
        <v>3.8</v>
      </c>
      <c r="EZ20" s="102">
        <v>9.4</v>
      </c>
      <c r="FA20" s="102">
        <v>2.8</v>
      </c>
      <c r="FB20" s="102">
        <v>13.3</v>
      </c>
      <c r="FC20" s="102">
        <v>4.8</v>
      </c>
      <c r="FD20" s="102">
        <v>12.8</v>
      </c>
      <c r="FE20" s="102">
        <v>3.8</v>
      </c>
      <c r="FF20" s="102">
        <v>12.1</v>
      </c>
      <c r="FG20" s="102">
        <v>2.9</v>
      </c>
      <c r="FH20" s="102">
        <v>17</v>
      </c>
      <c r="FI20" s="102">
        <v>4.7</v>
      </c>
      <c r="FJ20" s="102">
        <v>16.100000000000001</v>
      </c>
      <c r="FK20" s="102">
        <v>3.6</v>
      </c>
      <c r="FL20" s="102">
        <v>15.2</v>
      </c>
      <c r="FM20" s="102">
        <v>2.8</v>
      </c>
    </row>
    <row r="21" spans="1:169" s="89" customFormat="1" x14ac:dyDescent="0.25">
      <c r="A21" s="89">
        <v>-11</v>
      </c>
      <c r="B21" s="120">
        <v>4.0350000000000001</v>
      </c>
      <c r="C21" s="120">
        <v>2.62</v>
      </c>
      <c r="D21" s="120">
        <v>5.52</v>
      </c>
      <c r="E21" s="120">
        <v>2.63</v>
      </c>
      <c r="F21" s="120">
        <v>7.54</v>
      </c>
      <c r="G21" s="120">
        <v>2.7249999999999996</v>
      </c>
      <c r="H21" s="120">
        <v>9.48</v>
      </c>
      <c r="I21" s="120">
        <v>2.5</v>
      </c>
      <c r="J21" s="120">
        <v>11.565</v>
      </c>
      <c r="K21" s="120">
        <v>2.5099999999999998</v>
      </c>
      <c r="L21" s="120">
        <v>3.9550000000000001</v>
      </c>
      <c r="M21" s="120">
        <v>2.2549999999999999</v>
      </c>
      <c r="N21" s="120">
        <v>5.2750000000000004</v>
      </c>
      <c r="O21" s="120">
        <v>2.4050000000000002</v>
      </c>
      <c r="P21" s="120">
        <v>7.45</v>
      </c>
      <c r="Q21" s="120">
        <v>2.2949999999999999</v>
      </c>
      <c r="R21" s="120">
        <v>9.3999999999999986</v>
      </c>
      <c r="S21" s="120">
        <v>2.165</v>
      </c>
      <c r="T21" s="120">
        <v>10.705</v>
      </c>
      <c r="U21" s="120">
        <v>2.165</v>
      </c>
      <c r="V21" s="120">
        <v>3.7399999999999998</v>
      </c>
      <c r="W21" s="120">
        <v>1.77</v>
      </c>
      <c r="X21" s="120">
        <v>4.6750000000000007</v>
      </c>
      <c r="Y21" s="120">
        <v>1.875</v>
      </c>
      <c r="Z21" s="120">
        <v>6.1899999999999995</v>
      </c>
      <c r="AA21" s="120">
        <v>1.93</v>
      </c>
      <c r="AB21" s="120">
        <v>8.8000000000000007</v>
      </c>
      <c r="AC21" s="120">
        <v>1.7350000000000001</v>
      </c>
      <c r="AD21" s="120">
        <v>9.5500000000000007</v>
      </c>
      <c r="AE21" s="120">
        <v>1.7250000000000001</v>
      </c>
      <c r="AF21" s="125">
        <f>(AF$25-AF$20)/5+AF20</f>
        <v>31.255172413793105</v>
      </c>
      <c r="AG21" s="125">
        <f t="shared" ref="AG21:AW24" si="89">(AG$25-AG$20)/5+AG20</f>
        <v>2.8639999999999999</v>
      </c>
      <c r="AH21" s="125">
        <f t="shared" si="89"/>
        <v>36.256</v>
      </c>
      <c r="AI21" s="125">
        <f t="shared" si="89"/>
        <v>2.9539999999999997</v>
      </c>
      <c r="AJ21" s="125">
        <f t="shared" si="89"/>
        <v>46.882758620689657</v>
      </c>
      <c r="AK21" s="125">
        <f t="shared" si="89"/>
        <v>2.8340000000000001</v>
      </c>
      <c r="AL21" s="125">
        <f t="shared" si="89"/>
        <v>27.455172413793104</v>
      </c>
      <c r="AM21" s="125">
        <f t="shared" si="89"/>
        <v>2.3660000000000001</v>
      </c>
      <c r="AN21" s="125">
        <f t="shared" si="89"/>
        <v>31.847999999999999</v>
      </c>
      <c r="AO21" s="125">
        <f t="shared" si="89"/>
        <v>2.456</v>
      </c>
      <c r="AP21" s="125">
        <f t="shared" si="89"/>
        <v>41.182758620689654</v>
      </c>
      <c r="AQ21" s="125">
        <f t="shared" si="89"/>
        <v>2.3360000000000003</v>
      </c>
      <c r="AR21" s="125">
        <f t="shared" si="89"/>
        <v>24.955172413793104</v>
      </c>
      <c r="AS21" s="125">
        <f t="shared" si="89"/>
        <v>1.92</v>
      </c>
      <c r="AT21" s="125">
        <f t="shared" si="89"/>
        <v>28.948</v>
      </c>
      <c r="AU21" s="125">
        <f t="shared" si="89"/>
        <v>2.0099999999999998</v>
      </c>
      <c r="AV21" s="125">
        <f t="shared" si="89"/>
        <v>37.432758620689654</v>
      </c>
      <c r="AW21" s="125">
        <f t="shared" si="89"/>
        <v>1.89</v>
      </c>
      <c r="AX21" s="122">
        <f t="shared" si="88"/>
        <v>3.9520000000000008</v>
      </c>
      <c r="AY21" s="122">
        <f t="shared" si="87"/>
        <v>2.794</v>
      </c>
      <c r="AZ21" s="122">
        <f t="shared" si="87"/>
        <v>5.1960000000000006</v>
      </c>
      <c r="BA21" s="122">
        <f t="shared" si="87"/>
        <v>2.8440000000000003</v>
      </c>
      <c r="BB21" s="122">
        <f t="shared" si="87"/>
        <v>6.0400000000000009</v>
      </c>
      <c r="BC21" s="122">
        <f t="shared" si="87"/>
        <v>2.456</v>
      </c>
      <c r="BD21" s="122">
        <f t="shared" si="87"/>
        <v>11.492000000000001</v>
      </c>
      <c r="BE21" s="122">
        <f t="shared" si="87"/>
        <v>3.0840000000000001</v>
      </c>
      <c r="BF21" s="122">
        <f t="shared" si="87"/>
        <v>3.82</v>
      </c>
      <c r="BG21" s="122">
        <f t="shared" si="87"/>
        <v>2.4139999999999997</v>
      </c>
      <c r="BH21" s="122">
        <f t="shared" si="87"/>
        <v>5.202</v>
      </c>
      <c r="BI21" s="122">
        <f t="shared" si="87"/>
        <v>2.4480000000000008</v>
      </c>
      <c r="BJ21" s="122">
        <f t="shared" si="87"/>
        <v>6.081999999999999</v>
      </c>
      <c r="BK21" s="122">
        <f t="shared" si="87"/>
        <v>2.12</v>
      </c>
      <c r="BL21" s="122">
        <f t="shared" si="87"/>
        <v>11.322000000000003</v>
      </c>
      <c r="BM21" s="122">
        <f t="shared" si="87"/>
        <v>2.5760000000000001</v>
      </c>
      <c r="BN21" s="122">
        <f t="shared" si="87"/>
        <v>3.6820000000000008</v>
      </c>
      <c r="BO21" s="122">
        <f t="shared" si="87"/>
        <v>2.0820000000000007</v>
      </c>
      <c r="BP21" s="122">
        <f t="shared" si="87"/>
        <v>5.1659999999999986</v>
      </c>
      <c r="BQ21" s="122">
        <f t="shared" si="87"/>
        <v>2.0999999999999992</v>
      </c>
      <c r="BR21" s="122">
        <f t="shared" si="87"/>
        <v>6.0959999999999983</v>
      </c>
      <c r="BS21" s="122">
        <f t="shared" si="87"/>
        <v>1.8359999999999999</v>
      </c>
      <c r="BT21" s="122">
        <f t="shared" si="87"/>
        <v>11.081999999999997</v>
      </c>
      <c r="BU21" s="122">
        <f t="shared" si="87"/>
        <v>2.1860000000000008</v>
      </c>
      <c r="BV21" s="123">
        <v>22.9</v>
      </c>
      <c r="BW21" s="123">
        <f>(BW$25-BW$20)/5+BW20</f>
        <v>5.3219999999999992</v>
      </c>
      <c r="BX21" s="123">
        <f t="shared" ref="BX21:CM24" si="90">(BX$25-BX$20)/5+BX20</f>
        <v>23.1</v>
      </c>
      <c r="BY21" s="123">
        <f t="shared" si="90"/>
        <v>4.2219999999999995</v>
      </c>
      <c r="BZ21" s="123">
        <f t="shared" si="90"/>
        <v>23.3</v>
      </c>
      <c r="CA21" s="123">
        <f t="shared" si="90"/>
        <v>3.452</v>
      </c>
      <c r="CB21" s="123">
        <f t="shared" si="90"/>
        <v>28.9</v>
      </c>
      <c r="CC21" s="123">
        <f t="shared" si="90"/>
        <v>5.3519999999999994</v>
      </c>
      <c r="CD21" s="123">
        <f t="shared" si="90"/>
        <v>29.1</v>
      </c>
      <c r="CE21" s="123">
        <f t="shared" si="90"/>
        <v>4.2319999999999993</v>
      </c>
      <c r="CF21" s="123">
        <f t="shared" si="90"/>
        <v>29.3</v>
      </c>
      <c r="CG21" s="123">
        <f t="shared" si="90"/>
        <v>3.3820000000000001</v>
      </c>
      <c r="CH21" s="123">
        <f t="shared" si="90"/>
        <v>38.700000000000003</v>
      </c>
      <c r="CI21" s="123">
        <f t="shared" si="90"/>
        <v>4.9019999999999992</v>
      </c>
      <c r="CJ21" s="123">
        <f t="shared" si="90"/>
        <v>38.5</v>
      </c>
      <c r="CK21" s="123">
        <f t="shared" si="90"/>
        <v>4.2219999999999995</v>
      </c>
      <c r="CL21" s="123">
        <f t="shared" si="90"/>
        <v>38.799999999999997</v>
      </c>
      <c r="CM21" s="123">
        <f t="shared" si="90"/>
        <v>3.3719999999999999</v>
      </c>
      <c r="CN21" s="123">
        <f t="shared" ref="CN21:CN24" si="91">(CN$25-CN$20)/5+CN20</f>
        <v>47.5</v>
      </c>
      <c r="CO21" s="123">
        <f t="shared" ref="CO21:CO24" si="92">(CO$25-CO$20)/5+CO20</f>
        <v>5.2119999999999997</v>
      </c>
      <c r="CP21" s="123">
        <f t="shared" ref="CP21:CP24" si="93">(CP$25-CP$20)/5+CP20</f>
        <v>47</v>
      </c>
      <c r="CQ21" s="123">
        <f t="shared" ref="CQ21:CQ24" si="94">(CQ$25-CQ$20)/5+CQ20</f>
        <v>4.202</v>
      </c>
      <c r="CR21" s="123">
        <f t="shared" ref="CR21:CR24" si="95">(CR$25-CR$20)/5+CR20</f>
        <v>47.7</v>
      </c>
      <c r="CS21" s="123">
        <f t="shared" ref="CS21:CS24" si="96">(CS$25-CS$20)/5+CS20</f>
        <v>3.472</v>
      </c>
      <c r="CT21" s="123">
        <f t="shared" ref="CT21:CT24" si="97">(CT$25-CT$20)/5+CT20</f>
        <v>54.9</v>
      </c>
      <c r="CU21" s="123">
        <f t="shared" ref="CU21:CU24" si="98">(CU$25-CU$20)/5+CU20</f>
        <v>5.2119999999999997</v>
      </c>
      <c r="CV21" s="123">
        <f t="shared" ref="CV21:CV24" si="99">(CV$25-CV$20)/5+CV20</f>
        <v>56.2</v>
      </c>
      <c r="CW21" s="123">
        <f t="shared" ref="CW21:CW24" si="100">(CW$25-CW$20)/5+CW20</f>
        <v>4.202</v>
      </c>
      <c r="CX21" s="123">
        <f t="shared" ref="CX21:CX24" si="101">(CX$25-CX$20)/5+CX20</f>
        <v>57.2</v>
      </c>
      <c r="CY21" s="123">
        <f t="shared" ref="CY21:CY24" si="102">(CY$25-CY$20)/5+CY20</f>
        <v>3.472</v>
      </c>
      <c r="CZ21" s="123">
        <f t="shared" ref="CZ21:CZ24" si="103">(CZ$25-CZ$20)/5+CZ20</f>
        <v>64</v>
      </c>
      <c r="DA21" s="123">
        <f t="shared" ref="DA21:DA24" si="104">(DA$25-DA$20)/5+DA20</f>
        <v>5.2619999999999996</v>
      </c>
      <c r="DB21" s="123">
        <f t="shared" ref="DB21:DB24" si="105">(DB$25-DB$20)/5+DB20</f>
        <v>64.7</v>
      </c>
      <c r="DC21" s="123">
        <f t="shared" ref="DC21:DC24" si="106">(DC$25-DC$20)/5+DC20</f>
        <v>4.1819999999999995</v>
      </c>
      <c r="DD21" s="123">
        <f t="shared" ref="DD21:DD24" si="107">(DD$25-DD$20)/5+DD20</f>
        <v>64</v>
      </c>
      <c r="DE21" s="123">
        <f t="shared" ref="DE21:DE24" si="108">(DE$25-DE$20)/5+DE20</f>
        <v>3.2719999999999998</v>
      </c>
      <c r="DF21" s="123">
        <f t="shared" ref="DF21:DF24" si="109">(DF$25-DF$20)/5+DF20</f>
        <v>72.8</v>
      </c>
      <c r="DG21" s="123">
        <f t="shared" ref="DG21:DG24" si="110">(DG$25-DG$20)/5+DG20</f>
        <v>5.0219999999999994</v>
      </c>
      <c r="DH21" s="123">
        <f t="shared" ref="DH21:DH24" si="111">(DH$25-DH$20)/5+DH20</f>
        <v>74.099999999999994</v>
      </c>
      <c r="DI21" s="123">
        <f t="shared" ref="DI21:DI24" si="112">(DI$25-DI$20)/5+DI20</f>
        <v>4.0619999999999994</v>
      </c>
      <c r="DJ21" s="123">
        <f t="shared" ref="DJ21:DJ24" si="113">(DJ$25-DJ$20)/5+DJ20</f>
        <v>73.900000000000006</v>
      </c>
      <c r="DK21" s="123">
        <f t="shared" ref="DK21:DK24" si="114">(DK$25-DK$20)/5+DK20</f>
        <v>3.3519999999999999</v>
      </c>
      <c r="DL21" s="123">
        <f t="shared" ref="DL21:DL24" si="115">(DL$25-DL$20)/5+DL20</f>
        <v>78.3</v>
      </c>
      <c r="DM21" s="123">
        <f t="shared" ref="DM21:DM24" si="116">(DM$25-DM$20)/5+DM20</f>
        <v>5.0719999999999992</v>
      </c>
      <c r="DN21" s="123">
        <f t="shared" ref="DN21:DN24" si="117">(DN$25-DN$20)/5+DN20</f>
        <v>80.3</v>
      </c>
      <c r="DO21" s="123">
        <f t="shared" ref="DO21:DO24" si="118">(DO$25-DO$20)/5+DO20</f>
        <v>4.1719999999999997</v>
      </c>
      <c r="DP21" s="123">
        <f t="shared" ref="DP21:DP24" si="119">(DP$25-DP$20)/5+DP20</f>
        <v>81.099999999999994</v>
      </c>
      <c r="DQ21" s="123">
        <f t="shared" ref="DQ21:DQ24" si="120">(DQ$25-DQ$20)/5+DQ20</f>
        <v>3.5020000000000002</v>
      </c>
      <c r="DR21" s="124">
        <f t="shared" ref="DR21:DR24" si="121">(DR$25-DR$20)/5+DR20</f>
        <v>44.6</v>
      </c>
      <c r="DS21" s="124">
        <f t="shared" ref="DS21:DS24" si="122">(DS$25-DS$20)/5+DS20</f>
        <v>4.5119999999999996</v>
      </c>
      <c r="DT21" s="124">
        <f t="shared" ref="DT21:DT24" si="123">(DT$25-DT$20)/5+DT20</f>
        <v>42.8</v>
      </c>
      <c r="DU21" s="124">
        <f t="shared" ref="DU21:DU24" si="124">(DU$25-DU$20)/5+DU20</f>
        <v>3.512</v>
      </c>
      <c r="DV21" s="124">
        <f t="shared" ref="DV21:DV24" si="125">(DV$25-DV$20)/5+DV20</f>
        <v>41</v>
      </c>
      <c r="DW21" s="124">
        <f t="shared" ref="DW21:DW24" si="126">(DW$25-DW$20)/5+DW20</f>
        <v>2.9119999999999999</v>
      </c>
      <c r="DX21" s="124">
        <f t="shared" ref="DX21:DX24" si="127">(DX$25-DX$20)/5+DX20</f>
        <v>59.6</v>
      </c>
      <c r="DY21" s="124">
        <f t="shared" ref="DY21:DY24" si="128">(DY$25-DY$20)/5+DY20</f>
        <v>4.8119999999999994</v>
      </c>
      <c r="DZ21" s="124">
        <f t="shared" ref="DZ21:DZ24" si="129">(DZ$25-DZ$20)/5+DZ20</f>
        <v>56.8</v>
      </c>
      <c r="EA21" s="124">
        <f t="shared" ref="EA21:EA24" si="130">(EA$25-EA$20)/5+EA20</f>
        <v>3.8119999999999998</v>
      </c>
      <c r="EB21" s="124">
        <f t="shared" ref="EB21:EB24" si="131">(EB$25-EB$20)/5+EB20</f>
        <v>54</v>
      </c>
      <c r="EC21" s="124">
        <f t="shared" ref="EC21:EC24" si="132">(EC$25-EC$20)/5+EC20</f>
        <v>2.9119999999999999</v>
      </c>
      <c r="ED21" s="124">
        <f t="shared" ref="ED21:ED24" si="133">(ED$25-ED$20)/5+ED20</f>
        <v>86.7</v>
      </c>
      <c r="EE21" s="124">
        <f t="shared" ref="EE21:EE24" si="134">(EE$25-EE$20)/5+EE20</f>
        <v>4.8119999999999994</v>
      </c>
      <c r="EF21" s="124">
        <f t="shared" ref="EF21:EF24" si="135">(EF$25-EF$20)/5+EF20</f>
        <v>83.35</v>
      </c>
      <c r="EG21" s="124">
        <f t="shared" ref="EG21:EG24" si="136">(EG$25-EG$20)/5+EG20</f>
        <v>3.7120000000000002</v>
      </c>
      <c r="EH21" s="124">
        <f t="shared" ref="EH21:EH24" si="137">(EH$25-EH$20)/5+EH20</f>
        <v>80</v>
      </c>
      <c r="EI21" s="124">
        <f t="shared" ref="EI21:EI24" si="138">(EI$25-EI$20)/5+EI20</f>
        <v>2.9119999999999999</v>
      </c>
      <c r="EJ21" s="102">
        <f>(EJ$37-EJ$20)/17+EJ20</f>
        <v>5.8529411764705879</v>
      </c>
      <c r="EK21" s="102">
        <f t="shared" ref="EK21:EO36" si="139">(EK$37-EK$20)/17+EK20</f>
        <v>4.4411764705882355</v>
      </c>
      <c r="EL21" s="102">
        <f t="shared" si="139"/>
        <v>5.552941176470588</v>
      </c>
      <c r="EM21" s="102">
        <f t="shared" si="139"/>
        <v>3.4294117647058822</v>
      </c>
      <c r="EN21" s="102">
        <f t="shared" si="139"/>
        <v>5.341176470588235</v>
      </c>
      <c r="EO21" s="102">
        <f t="shared" si="139"/>
        <v>2.723529411764706</v>
      </c>
      <c r="EP21" s="102">
        <f>(EP$42-EP$20)/22+EP20</f>
        <v>7.6954545454545453</v>
      </c>
      <c r="EQ21" s="102">
        <f t="shared" ref="EQ21:FM32" si="140">(EQ$42-EQ$20)/22+EQ20</f>
        <v>4.7545454545454549</v>
      </c>
      <c r="ER21" s="102">
        <f t="shared" si="140"/>
        <v>7.3954545454545455</v>
      </c>
      <c r="ES21" s="102">
        <f t="shared" si="140"/>
        <v>3.6409090909090911</v>
      </c>
      <c r="ET21" s="102">
        <f t="shared" si="140"/>
        <v>6.9909090909090912</v>
      </c>
      <c r="EU21" s="102">
        <f t="shared" si="140"/>
        <v>2.8272727272727272</v>
      </c>
      <c r="EV21" s="102">
        <f t="shared" si="140"/>
        <v>10.545454545454545</v>
      </c>
      <c r="EW21" s="102">
        <f t="shared" si="140"/>
        <v>4.8636363636363633</v>
      </c>
      <c r="EX21" s="102">
        <f t="shared" si="140"/>
        <v>10.131818181818183</v>
      </c>
      <c r="EY21" s="102">
        <f t="shared" si="140"/>
        <v>3.836363636363636</v>
      </c>
      <c r="EZ21" s="102">
        <f t="shared" si="140"/>
        <v>9.5181818181818194</v>
      </c>
      <c r="FA21" s="102">
        <f t="shared" si="140"/>
        <v>2.8318181818181816</v>
      </c>
      <c r="FB21" s="102">
        <f t="shared" si="140"/>
        <v>13.472727272727273</v>
      </c>
      <c r="FC21" s="102">
        <f t="shared" si="140"/>
        <v>4.8636363636363633</v>
      </c>
      <c r="FD21" s="102">
        <f t="shared" si="140"/>
        <v>12.959090909090909</v>
      </c>
      <c r="FE21" s="102">
        <f t="shared" si="140"/>
        <v>3.8409090909090908</v>
      </c>
      <c r="FF21" s="102">
        <f t="shared" si="140"/>
        <v>12.259090909090908</v>
      </c>
      <c r="FG21" s="102">
        <f t="shared" si="140"/>
        <v>2.9363636363636365</v>
      </c>
      <c r="FH21" s="102">
        <f t="shared" si="140"/>
        <v>17.204545454545453</v>
      </c>
      <c r="FI21" s="102">
        <f t="shared" si="140"/>
        <v>4.745454545454546</v>
      </c>
      <c r="FJ21" s="102">
        <f t="shared" si="140"/>
        <v>16.3</v>
      </c>
      <c r="FK21" s="102">
        <f t="shared" si="140"/>
        <v>3.6363636363636367</v>
      </c>
      <c r="FL21" s="102">
        <f t="shared" si="140"/>
        <v>15.386363636363635</v>
      </c>
      <c r="FM21" s="102">
        <f t="shared" si="140"/>
        <v>2.8272727272727272</v>
      </c>
    </row>
    <row r="22" spans="1:169" s="89" customFormat="1" x14ac:dyDescent="0.25">
      <c r="A22" s="89">
        <v>-10</v>
      </c>
      <c r="B22" s="120">
        <v>4.1537499999999996</v>
      </c>
      <c r="C22" s="120">
        <v>2.6675</v>
      </c>
      <c r="D22" s="120">
        <v>5.6825000000000001</v>
      </c>
      <c r="E22" s="120">
        <v>2.6774999999999998</v>
      </c>
      <c r="F22" s="120">
        <v>7.7625000000000002</v>
      </c>
      <c r="G22" s="120">
        <v>2.7737499999999997</v>
      </c>
      <c r="H22" s="120">
        <v>9.76</v>
      </c>
      <c r="I22" s="120">
        <v>2.5449999999999999</v>
      </c>
      <c r="J22" s="120">
        <v>11.90625</v>
      </c>
      <c r="K22" s="120">
        <v>2.5550000000000002</v>
      </c>
      <c r="L22" s="120">
        <v>4.07125</v>
      </c>
      <c r="M22" s="120">
        <v>2.2962499999999997</v>
      </c>
      <c r="N22" s="120">
        <v>5.4312500000000004</v>
      </c>
      <c r="O22" s="120">
        <v>2.44875</v>
      </c>
      <c r="P22" s="120">
        <v>7.67</v>
      </c>
      <c r="Q22" s="120">
        <v>2.3362499999999997</v>
      </c>
      <c r="R22" s="120">
        <v>9.6775000000000002</v>
      </c>
      <c r="S22" s="120">
        <v>2.2037499999999999</v>
      </c>
      <c r="T22" s="120">
        <v>11.02125</v>
      </c>
      <c r="U22" s="120">
        <v>2.2037499999999999</v>
      </c>
      <c r="V22" s="120">
        <v>3.8499999999999996</v>
      </c>
      <c r="W22" s="120">
        <v>1.8025</v>
      </c>
      <c r="X22" s="120">
        <v>4.8137500000000006</v>
      </c>
      <c r="Y22" s="120">
        <v>1.9087499999999999</v>
      </c>
      <c r="Z22" s="120">
        <v>6.3724999999999996</v>
      </c>
      <c r="AA22" s="120">
        <v>1.9649999999999999</v>
      </c>
      <c r="AB22" s="120">
        <v>9.06</v>
      </c>
      <c r="AC22" s="120">
        <v>1.7662500000000001</v>
      </c>
      <c r="AD22" s="120">
        <v>9.8324999999999996</v>
      </c>
      <c r="AE22" s="120">
        <v>1.7562500000000001</v>
      </c>
      <c r="AF22" s="125">
        <f t="shared" ref="AF22:AF24" si="141">(AF$25-AF$20)/5+AF21</f>
        <v>31.941379310344828</v>
      </c>
      <c r="AG22" s="125">
        <f t="shared" si="89"/>
        <v>2.9379999999999997</v>
      </c>
      <c r="AH22" s="125">
        <f t="shared" si="89"/>
        <v>37.052</v>
      </c>
      <c r="AI22" s="125">
        <f t="shared" si="89"/>
        <v>3.0279999999999996</v>
      </c>
      <c r="AJ22" s="125">
        <f t="shared" si="89"/>
        <v>47.912068965517243</v>
      </c>
      <c r="AK22" s="125">
        <f t="shared" si="89"/>
        <v>2.9079999999999999</v>
      </c>
      <c r="AL22" s="125">
        <f t="shared" si="89"/>
        <v>28.220689655172414</v>
      </c>
      <c r="AM22" s="125">
        <f t="shared" si="89"/>
        <v>2.4220000000000002</v>
      </c>
      <c r="AN22" s="125">
        <f t="shared" si="89"/>
        <v>32.735999999999997</v>
      </c>
      <c r="AO22" s="125">
        <f t="shared" si="89"/>
        <v>2.512</v>
      </c>
      <c r="AP22" s="125">
        <f t="shared" si="89"/>
        <v>42.331034482758618</v>
      </c>
      <c r="AQ22" s="125">
        <f t="shared" si="89"/>
        <v>2.3920000000000003</v>
      </c>
      <c r="AR22" s="125">
        <f t="shared" si="89"/>
        <v>25.393103448275863</v>
      </c>
      <c r="AS22" s="125">
        <f t="shared" si="89"/>
        <v>1.96</v>
      </c>
      <c r="AT22" s="125">
        <f t="shared" si="89"/>
        <v>29.456</v>
      </c>
      <c r="AU22" s="125">
        <f t="shared" si="89"/>
        <v>2.0499999999999998</v>
      </c>
      <c r="AV22" s="125">
        <f t="shared" si="89"/>
        <v>38.089655172413792</v>
      </c>
      <c r="AW22" s="125">
        <f t="shared" si="89"/>
        <v>1.93</v>
      </c>
      <c r="AX22" s="122">
        <v>3.95</v>
      </c>
      <c r="AY22" s="122">
        <v>2.77</v>
      </c>
      <c r="AZ22" s="122">
        <v>5.34</v>
      </c>
      <c r="BA22" s="122">
        <v>2.9</v>
      </c>
      <c r="BB22" s="122">
        <v>6.03</v>
      </c>
      <c r="BC22" s="122">
        <v>2.44</v>
      </c>
      <c r="BD22" s="122">
        <v>11.79</v>
      </c>
      <c r="BE22" s="122">
        <v>3.14</v>
      </c>
      <c r="BF22" s="122">
        <v>3.82</v>
      </c>
      <c r="BG22" s="122">
        <v>2.39</v>
      </c>
      <c r="BH22" s="122">
        <v>5.34</v>
      </c>
      <c r="BI22" s="122">
        <v>2.4900000000000002</v>
      </c>
      <c r="BJ22" s="122">
        <v>6.06</v>
      </c>
      <c r="BK22" s="122">
        <v>2.1</v>
      </c>
      <c r="BL22" s="122">
        <v>11.6</v>
      </c>
      <c r="BM22" s="122">
        <v>2.62</v>
      </c>
      <c r="BN22" s="122">
        <v>3.68</v>
      </c>
      <c r="BO22" s="122">
        <v>2.06</v>
      </c>
      <c r="BP22" s="122">
        <v>5.29</v>
      </c>
      <c r="BQ22" s="122">
        <v>2.13</v>
      </c>
      <c r="BR22" s="122">
        <v>6.06</v>
      </c>
      <c r="BS22" s="122">
        <v>1.81</v>
      </c>
      <c r="BT22" s="122">
        <v>11.34</v>
      </c>
      <c r="BU22" s="122">
        <v>2.2200000000000002</v>
      </c>
      <c r="BV22" s="123">
        <v>22.9</v>
      </c>
      <c r="BW22" s="123">
        <f t="shared" ref="BW22:BW24" si="142">(BW$25-BW$20)/5+BW21</f>
        <v>5.3339999999999987</v>
      </c>
      <c r="BX22" s="123">
        <f t="shared" si="90"/>
        <v>23.1</v>
      </c>
      <c r="BY22" s="123">
        <f t="shared" si="90"/>
        <v>4.2339999999999991</v>
      </c>
      <c r="BZ22" s="123">
        <f t="shared" si="90"/>
        <v>23.3</v>
      </c>
      <c r="CA22" s="123">
        <f t="shared" si="90"/>
        <v>3.464</v>
      </c>
      <c r="CB22" s="123">
        <f t="shared" si="90"/>
        <v>28.9</v>
      </c>
      <c r="CC22" s="123">
        <f t="shared" si="90"/>
        <v>5.363999999999999</v>
      </c>
      <c r="CD22" s="123">
        <f t="shared" si="90"/>
        <v>29.1</v>
      </c>
      <c r="CE22" s="123">
        <f t="shared" si="90"/>
        <v>4.2439999999999989</v>
      </c>
      <c r="CF22" s="123">
        <f t="shared" si="90"/>
        <v>29.3</v>
      </c>
      <c r="CG22" s="123">
        <f t="shared" si="90"/>
        <v>3.3940000000000001</v>
      </c>
      <c r="CH22" s="123">
        <f t="shared" si="90"/>
        <v>38.700000000000003</v>
      </c>
      <c r="CI22" s="123">
        <f t="shared" si="90"/>
        <v>4.9139999999999988</v>
      </c>
      <c r="CJ22" s="123">
        <f t="shared" si="90"/>
        <v>38.5</v>
      </c>
      <c r="CK22" s="123">
        <f t="shared" si="90"/>
        <v>4.2339999999999991</v>
      </c>
      <c r="CL22" s="123">
        <f t="shared" si="90"/>
        <v>38.799999999999997</v>
      </c>
      <c r="CM22" s="123">
        <f t="shared" si="90"/>
        <v>3.3839999999999999</v>
      </c>
      <c r="CN22" s="123">
        <f t="shared" si="91"/>
        <v>47.5</v>
      </c>
      <c r="CO22" s="123">
        <f t="shared" si="92"/>
        <v>5.2239999999999993</v>
      </c>
      <c r="CP22" s="123">
        <f t="shared" si="93"/>
        <v>47</v>
      </c>
      <c r="CQ22" s="123">
        <f t="shared" si="94"/>
        <v>4.2139999999999995</v>
      </c>
      <c r="CR22" s="123">
        <f t="shared" si="95"/>
        <v>47.7</v>
      </c>
      <c r="CS22" s="123">
        <f t="shared" si="96"/>
        <v>3.484</v>
      </c>
      <c r="CT22" s="123">
        <f t="shared" si="97"/>
        <v>54.9</v>
      </c>
      <c r="CU22" s="123">
        <f t="shared" si="98"/>
        <v>5.2239999999999993</v>
      </c>
      <c r="CV22" s="123">
        <f t="shared" si="99"/>
        <v>56.2</v>
      </c>
      <c r="CW22" s="123">
        <f t="shared" si="100"/>
        <v>4.2139999999999995</v>
      </c>
      <c r="CX22" s="123">
        <f t="shared" si="101"/>
        <v>57.2</v>
      </c>
      <c r="CY22" s="123">
        <f t="shared" si="102"/>
        <v>3.484</v>
      </c>
      <c r="CZ22" s="123">
        <f t="shared" si="103"/>
        <v>64</v>
      </c>
      <c r="DA22" s="123">
        <f t="shared" si="104"/>
        <v>5.2739999999999991</v>
      </c>
      <c r="DB22" s="123">
        <f t="shared" si="105"/>
        <v>64.7</v>
      </c>
      <c r="DC22" s="123">
        <f t="shared" si="106"/>
        <v>4.1939999999999991</v>
      </c>
      <c r="DD22" s="123">
        <f t="shared" si="107"/>
        <v>64</v>
      </c>
      <c r="DE22" s="123">
        <f t="shared" si="108"/>
        <v>3.2839999999999998</v>
      </c>
      <c r="DF22" s="123">
        <f t="shared" si="109"/>
        <v>72.8</v>
      </c>
      <c r="DG22" s="123">
        <f t="shared" si="110"/>
        <v>5.0339999999999989</v>
      </c>
      <c r="DH22" s="123">
        <f t="shared" si="111"/>
        <v>74.099999999999994</v>
      </c>
      <c r="DI22" s="123">
        <f t="shared" si="112"/>
        <v>4.073999999999999</v>
      </c>
      <c r="DJ22" s="123">
        <f t="shared" si="113"/>
        <v>73.900000000000006</v>
      </c>
      <c r="DK22" s="123">
        <f t="shared" si="114"/>
        <v>3.3639999999999999</v>
      </c>
      <c r="DL22" s="123">
        <f t="shared" si="115"/>
        <v>78.3</v>
      </c>
      <c r="DM22" s="123">
        <f t="shared" si="116"/>
        <v>5.0839999999999987</v>
      </c>
      <c r="DN22" s="123">
        <f t="shared" si="117"/>
        <v>80.3</v>
      </c>
      <c r="DO22" s="123">
        <f t="shared" si="118"/>
        <v>4.1839999999999993</v>
      </c>
      <c r="DP22" s="123">
        <f t="shared" si="119"/>
        <v>81.099999999999994</v>
      </c>
      <c r="DQ22" s="123">
        <f t="shared" si="120"/>
        <v>3.5140000000000002</v>
      </c>
      <c r="DR22" s="124">
        <f t="shared" si="121"/>
        <v>44.6</v>
      </c>
      <c r="DS22" s="124">
        <f t="shared" si="122"/>
        <v>4.5239999999999991</v>
      </c>
      <c r="DT22" s="124">
        <f t="shared" si="123"/>
        <v>42.8</v>
      </c>
      <c r="DU22" s="124">
        <f t="shared" si="124"/>
        <v>3.524</v>
      </c>
      <c r="DV22" s="124">
        <f t="shared" si="125"/>
        <v>41</v>
      </c>
      <c r="DW22" s="124">
        <f t="shared" si="126"/>
        <v>2.9239999999999999</v>
      </c>
      <c r="DX22" s="124">
        <f t="shared" si="127"/>
        <v>59.6</v>
      </c>
      <c r="DY22" s="124">
        <f t="shared" si="128"/>
        <v>4.823999999999999</v>
      </c>
      <c r="DZ22" s="124">
        <f t="shared" si="129"/>
        <v>56.8</v>
      </c>
      <c r="EA22" s="124">
        <f t="shared" si="130"/>
        <v>3.8239999999999998</v>
      </c>
      <c r="EB22" s="124">
        <f t="shared" si="131"/>
        <v>54</v>
      </c>
      <c r="EC22" s="124">
        <f t="shared" si="132"/>
        <v>2.9239999999999999</v>
      </c>
      <c r="ED22" s="124">
        <f t="shared" si="133"/>
        <v>86.7</v>
      </c>
      <c r="EE22" s="124">
        <f t="shared" si="134"/>
        <v>4.823999999999999</v>
      </c>
      <c r="EF22" s="124">
        <f t="shared" si="135"/>
        <v>83.35</v>
      </c>
      <c r="EG22" s="124">
        <f t="shared" si="136"/>
        <v>3.7240000000000002</v>
      </c>
      <c r="EH22" s="124">
        <f t="shared" si="137"/>
        <v>80</v>
      </c>
      <c r="EI22" s="124">
        <f t="shared" si="138"/>
        <v>2.9239999999999999</v>
      </c>
      <c r="EJ22" s="102">
        <f t="shared" ref="EJ22:EJ36" si="143">(EJ$37-EJ$20)/17+EJ21</f>
        <v>5.9058823529411759</v>
      </c>
      <c r="EK22" s="102">
        <f t="shared" si="139"/>
        <v>4.4823529411764707</v>
      </c>
      <c r="EL22" s="102">
        <f t="shared" si="139"/>
        <v>5.6058823529411761</v>
      </c>
      <c r="EM22" s="102">
        <f t="shared" si="139"/>
        <v>3.4588235294117644</v>
      </c>
      <c r="EN22" s="102">
        <f t="shared" si="139"/>
        <v>5.3823529411764701</v>
      </c>
      <c r="EO22" s="102">
        <f t="shared" si="139"/>
        <v>2.7470588235294118</v>
      </c>
      <c r="EP22" s="102">
        <f t="shared" ref="EP22:EP41" si="144">(EP$42-EP$20)/22+EP21</f>
        <v>7.790909090909091</v>
      </c>
      <c r="EQ22" s="102">
        <f t="shared" si="140"/>
        <v>4.8090909090909095</v>
      </c>
      <c r="ER22" s="102">
        <f t="shared" si="140"/>
        <v>7.4909090909090912</v>
      </c>
      <c r="ES22" s="102">
        <f t="shared" si="140"/>
        <v>3.6818181818181821</v>
      </c>
      <c r="ET22" s="102">
        <f t="shared" si="140"/>
        <v>7.081818181818182</v>
      </c>
      <c r="EU22" s="102">
        <f t="shared" si="140"/>
        <v>2.8545454545454545</v>
      </c>
      <c r="EV22" s="102">
        <f t="shared" si="140"/>
        <v>10.69090909090909</v>
      </c>
      <c r="EW22" s="102">
        <f t="shared" si="140"/>
        <v>4.9272727272727268</v>
      </c>
      <c r="EX22" s="102">
        <f t="shared" si="140"/>
        <v>10.263636363636365</v>
      </c>
      <c r="EY22" s="102">
        <f t="shared" si="140"/>
        <v>3.8727272727272721</v>
      </c>
      <c r="EZ22" s="102">
        <f t="shared" si="140"/>
        <v>9.6363636363636367</v>
      </c>
      <c r="FA22" s="102">
        <f t="shared" si="140"/>
        <v>2.8636363636363633</v>
      </c>
      <c r="FB22" s="102">
        <f t="shared" si="140"/>
        <v>13.645454545454545</v>
      </c>
      <c r="FC22" s="102">
        <f t="shared" si="140"/>
        <v>4.9272727272727268</v>
      </c>
      <c r="FD22" s="102">
        <f t="shared" si="140"/>
        <v>13.118181818181817</v>
      </c>
      <c r="FE22" s="102">
        <f t="shared" si="140"/>
        <v>3.8818181818181818</v>
      </c>
      <c r="FF22" s="102">
        <f t="shared" si="140"/>
        <v>12.418181818181816</v>
      </c>
      <c r="FG22" s="102">
        <f t="shared" si="140"/>
        <v>2.9727272727272727</v>
      </c>
      <c r="FH22" s="102">
        <f t="shared" si="140"/>
        <v>17.409090909090907</v>
      </c>
      <c r="FI22" s="102">
        <f t="shared" si="140"/>
        <v>4.7909090909090919</v>
      </c>
      <c r="FJ22" s="102">
        <f t="shared" si="140"/>
        <v>16.5</v>
      </c>
      <c r="FK22" s="102">
        <f t="shared" si="140"/>
        <v>3.6727272727272728</v>
      </c>
      <c r="FL22" s="102">
        <f t="shared" si="140"/>
        <v>15.572727272727271</v>
      </c>
      <c r="FM22" s="102">
        <f t="shared" si="140"/>
        <v>2.8545454545454545</v>
      </c>
    </row>
    <row r="23" spans="1:169" s="89" customFormat="1" x14ac:dyDescent="0.25">
      <c r="A23" s="89">
        <v>-9</v>
      </c>
      <c r="B23" s="120">
        <v>4.2725</v>
      </c>
      <c r="C23" s="120">
        <v>2.7149999999999999</v>
      </c>
      <c r="D23" s="120">
        <v>5.8449999999999998</v>
      </c>
      <c r="E23" s="120">
        <v>2.7249999999999996</v>
      </c>
      <c r="F23" s="120">
        <v>7.9849999999999994</v>
      </c>
      <c r="G23" s="120">
        <v>2.8224999999999998</v>
      </c>
      <c r="H23" s="120">
        <v>10.039999999999999</v>
      </c>
      <c r="I23" s="120">
        <v>2.59</v>
      </c>
      <c r="J23" s="120">
        <v>12.247499999999999</v>
      </c>
      <c r="K23" s="120">
        <v>2.6</v>
      </c>
      <c r="L23" s="120">
        <v>4.1875</v>
      </c>
      <c r="M23" s="120">
        <v>2.3374999999999999</v>
      </c>
      <c r="N23" s="120">
        <v>5.5875000000000004</v>
      </c>
      <c r="O23" s="120">
        <v>2.4925000000000002</v>
      </c>
      <c r="P23" s="120">
        <v>7.8900000000000006</v>
      </c>
      <c r="Q23" s="120">
        <v>2.3774999999999999</v>
      </c>
      <c r="R23" s="120">
        <v>9.9550000000000001</v>
      </c>
      <c r="S23" s="120">
        <v>2.2424999999999997</v>
      </c>
      <c r="T23" s="120">
        <v>11.3375</v>
      </c>
      <c r="U23" s="120">
        <v>2.2424999999999997</v>
      </c>
      <c r="V23" s="120">
        <v>3.96</v>
      </c>
      <c r="W23" s="120">
        <v>1.835</v>
      </c>
      <c r="X23" s="120">
        <v>4.9525000000000006</v>
      </c>
      <c r="Y23" s="120">
        <v>1.9424999999999999</v>
      </c>
      <c r="Z23" s="120">
        <v>6.5549999999999997</v>
      </c>
      <c r="AA23" s="120">
        <v>2</v>
      </c>
      <c r="AB23" s="120">
        <v>9.32</v>
      </c>
      <c r="AC23" s="120">
        <v>1.7975000000000001</v>
      </c>
      <c r="AD23" s="120">
        <v>10.115</v>
      </c>
      <c r="AE23" s="120">
        <v>1.7875000000000001</v>
      </c>
      <c r="AF23" s="125">
        <f t="shared" si="141"/>
        <v>32.627586206896552</v>
      </c>
      <c r="AG23" s="125">
        <f t="shared" si="89"/>
        <v>3.0119999999999996</v>
      </c>
      <c r="AH23" s="125">
        <f t="shared" si="89"/>
        <v>37.847999999999999</v>
      </c>
      <c r="AI23" s="125">
        <f t="shared" si="89"/>
        <v>3.1019999999999994</v>
      </c>
      <c r="AJ23" s="125">
        <f t="shared" si="89"/>
        <v>48.941379310344828</v>
      </c>
      <c r="AK23" s="125">
        <f t="shared" si="89"/>
        <v>2.9819999999999998</v>
      </c>
      <c r="AL23" s="125">
        <f t="shared" si="89"/>
        <v>28.986206896551725</v>
      </c>
      <c r="AM23" s="125">
        <f t="shared" si="89"/>
        <v>2.4780000000000002</v>
      </c>
      <c r="AN23" s="125">
        <f t="shared" si="89"/>
        <v>33.623999999999995</v>
      </c>
      <c r="AO23" s="125">
        <f t="shared" si="89"/>
        <v>2.5680000000000001</v>
      </c>
      <c r="AP23" s="125">
        <f t="shared" si="89"/>
        <v>43.479310344827582</v>
      </c>
      <c r="AQ23" s="125">
        <f t="shared" si="89"/>
        <v>2.4480000000000004</v>
      </c>
      <c r="AR23" s="125">
        <f t="shared" si="89"/>
        <v>25.831034482758621</v>
      </c>
      <c r="AS23" s="125">
        <f t="shared" si="89"/>
        <v>2</v>
      </c>
      <c r="AT23" s="125">
        <f t="shared" si="89"/>
        <v>29.963999999999999</v>
      </c>
      <c r="AU23" s="125">
        <f t="shared" si="89"/>
        <v>2.09</v>
      </c>
      <c r="AV23" s="125">
        <f t="shared" si="89"/>
        <v>38.74655172413793</v>
      </c>
      <c r="AW23" s="125">
        <f t="shared" si="89"/>
        <v>1.97</v>
      </c>
      <c r="AX23" s="122">
        <f>(AX$25-AX$22)/3+AX22</f>
        <v>4.05</v>
      </c>
      <c r="AY23" s="122">
        <f t="shared" ref="AY23:BU24" si="145">(AY$25-AY$22)/3+AY22</f>
        <v>2.82</v>
      </c>
      <c r="AZ23" s="122">
        <f t="shared" si="145"/>
        <v>5.4966666666666661</v>
      </c>
      <c r="BA23" s="122">
        <f t="shared" si="145"/>
        <v>2.9633333333333334</v>
      </c>
      <c r="BB23" s="122">
        <f t="shared" si="145"/>
        <v>6.1833333333333336</v>
      </c>
      <c r="BC23" s="122">
        <f t="shared" si="145"/>
        <v>2.4866666666666668</v>
      </c>
      <c r="BD23" s="122">
        <f t="shared" si="145"/>
        <v>12.11</v>
      </c>
      <c r="BE23" s="122">
        <f t="shared" si="145"/>
        <v>3.2</v>
      </c>
      <c r="BF23" s="122">
        <f t="shared" si="145"/>
        <v>3.92</v>
      </c>
      <c r="BG23" s="122">
        <f t="shared" si="145"/>
        <v>2.4333333333333336</v>
      </c>
      <c r="BH23" s="122">
        <f t="shared" si="145"/>
        <v>5.49</v>
      </c>
      <c r="BI23" s="122">
        <f t="shared" si="145"/>
        <v>2.5366666666666666</v>
      </c>
      <c r="BJ23" s="122">
        <f t="shared" si="145"/>
        <v>6.21</v>
      </c>
      <c r="BK23" s="122">
        <f t="shared" si="145"/>
        <v>2.1333333333333333</v>
      </c>
      <c r="BL23" s="122">
        <f t="shared" si="145"/>
        <v>11.896666666666667</v>
      </c>
      <c r="BM23" s="122">
        <f t="shared" si="145"/>
        <v>2.6666666666666665</v>
      </c>
      <c r="BN23" s="122">
        <f t="shared" si="145"/>
        <v>3.7766666666666668</v>
      </c>
      <c r="BO23" s="122">
        <f t="shared" si="145"/>
        <v>2.0933333333333333</v>
      </c>
      <c r="BP23" s="122">
        <f t="shared" si="145"/>
        <v>5.41</v>
      </c>
      <c r="BQ23" s="122">
        <f t="shared" si="145"/>
        <v>2.1666666666666665</v>
      </c>
      <c r="BR23" s="122">
        <f t="shared" si="145"/>
        <v>6.1766666666666667</v>
      </c>
      <c r="BS23" s="122">
        <f t="shared" si="145"/>
        <v>1.8366666666666667</v>
      </c>
      <c r="BT23" s="122">
        <f t="shared" si="145"/>
        <v>11.616666666666667</v>
      </c>
      <c r="BU23" s="122">
        <f t="shared" si="145"/>
        <v>2.2566666666666668</v>
      </c>
      <c r="BV23" s="123">
        <v>22.9</v>
      </c>
      <c r="BW23" s="123">
        <f t="shared" si="142"/>
        <v>5.3459999999999983</v>
      </c>
      <c r="BX23" s="123">
        <f t="shared" si="90"/>
        <v>23.1</v>
      </c>
      <c r="BY23" s="123">
        <f t="shared" si="90"/>
        <v>4.2459999999999987</v>
      </c>
      <c r="BZ23" s="123">
        <f t="shared" si="90"/>
        <v>23.3</v>
      </c>
      <c r="CA23" s="123">
        <f t="shared" si="90"/>
        <v>3.476</v>
      </c>
      <c r="CB23" s="123">
        <f t="shared" si="90"/>
        <v>28.9</v>
      </c>
      <c r="CC23" s="123">
        <f t="shared" si="90"/>
        <v>5.3759999999999986</v>
      </c>
      <c r="CD23" s="123">
        <f t="shared" si="90"/>
        <v>29.1</v>
      </c>
      <c r="CE23" s="123">
        <f t="shared" si="90"/>
        <v>4.2559999999999985</v>
      </c>
      <c r="CF23" s="123">
        <f t="shared" si="90"/>
        <v>29.3</v>
      </c>
      <c r="CG23" s="123">
        <f t="shared" si="90"/>
        <v>3.4060000000000001</v>
      </c>
      <c r="CH23" s="123">
        <f t="shared" si="90"/>
        <v>38.700000000000003</v>
      </c>
      <c r="CI23" s="123">
        <f t="shared" si="90"/>
        <v>4.9259999999999984</v>
      </c>
      <c r="CJ23" s="123">
        <f t="shared" si="90"/>
        <v>38.5</v>
      </c>
      <c r="CK23" s="123">
        <f t="shared" si="90"/>
        <v>4.2459999999999987</v>
      </c>
      <c r="CL23" s="123">
        <f t="shared" si="90"/>
        <v>38.799999999999997</v>
      </c>
      <c r="CM23" s="123">
        <f t="shared" si="90"/>
        <v>3.3959999999999999</v>
      </c>
      <c r="CN23" s="123">
        <f t="shared" si="91"/>
        <v>47.5</v>
      </c>
      <c r="CO23" s="123">
        <f t="shared" si="92"/>
        <v>5.2359999999999989</v>
      </c>
      <c r="CP23" s="123">
        <f t="shared" si="93"/>
        <v>47</v>
      </c>
      <c r="CQ23" s="123">
        <f t="shared" si="94"/>
        <v>4.2259999999999991</v>
      </c>
      <c r="CR23" s="123">
        <f t="shared" si="95"/>
        <v>47.7</v>
      </c>
      <c r="CS23" s="123">
        <f t="shared" si="96"/>
        <v>3.496</v>
      </c>
      <c r="CT23" s="123">
        <f t="shared" si="97"/>
        <v>54.9</v>
      </c>
      <c r="CU23" s="123">
        <f t="shared" si="98"/>
        <v>5.2359999999999989</v>
      </c>
      <c r="CV23" s="123">
        <f t="shared" si="99"/>
        <v>56.2</v>
      </c>
      <c r="CW23" s="123">
        <f t="shared" si="100"/>
        <v>4.2259999999999991</v>
      </c>
      <c r="CX23" s="123">
        <f t="shared" si="101"/>
        <v>57.2</v>
      </c>
      <c r="CY23" s="123">
        <f t="shared" si="102"/>
        <v>3.496</v>
      </c>
      <c r="CZ23" s="123">
        <f t="shared" si="103"/>
        <v>64</v>
      </c>
      <c r="DA23" s="123">
        <f t="shared" si="104"/>
        <v>5.2859999999999987</v>
      </c>
      <c r="DB23" s="123">
        <f t="shared" si="105"/>
        <v>64.7</v>
      </c>
      <c r="DC23" s="123">
        <f t="shared" si="106"/>
        <v>4.2059999999999986</v>
      </c>
      <c r="DD23" s="123">
        <f t="shared" si="107"/>
        <v>64</v>
      </c>
      <c r="DE23" s="123">
        <f t="shared" si="108"/>
        <v>3.2959999999999998</v>
      </c>
      <c r="DF23" s="123">
        <f t="shared" si="109"/>
        <v>72.8</v>
      </c>
      <c r="DG23" s="123">
        <f t="shared" si="110"/>
        <v>5.0459999999999985</v>
      </c>
      <c r="DH23" s="123">
        <f t="shared" si="111"/>
        <v>74.099999999999994</v>
      </c>
      <c r="DI23" s="123">
        <f t="shared" si="112"/>
        <v>4.0859999999999985</v>
      </c>
      <c r="DJ23" s="123">
        <f t="shared" si="113"/>
        <v>73.900000000000006</v>
      </c>
      <c r="DK23" s="123">
        <f t="shared" si="114"/>
        <v>3.3759999999999999</v>
      </c>
      <c r="DL23" s="123">
        <f t="shared" si="115"/>
        <v>78.3</v>
      </c>
      <c r="DM23" s="123">
        <f t="shared" si="116"/>
        <v>5.0959999999999983</v>
      </c>
      <c r="DN23" s="123">
        <f t="shared" si="117"/>
        <v>80.3</v>
      </c>
      <c r="DO23" s="123">
        <f t="shared" si="118"/>
        <v>4.1959999999999988</v>
      </c>
      <c r="DP23" s="123">
        <f t="shared" si="119"/>
        <v>81.099999999999994</v>
      </c>
      <c r="DQ23" s="123">
        <f t="shared" si="120"/>
        <v>3.5260000000000002</v>
      </c>
      <c r="DR23" s="124">
        <f t="shared" si="121"/>
        <v>44.6</v>
      </c>
      <c r="DS23" s="124">
        <f t="shared" si="122"/>
        <v>4.5359999999999987</v>
      </c>
      <c r="DT23" s="124">
        <f t="shared" si="123"/>
        <v>42.8</v>
      </c>
      <c r="DU23" s="124">
        <f t="shared" si="124"/>
        <v>3.536</v>
      </c>
      <c r="DV23" s="124">
        <f t="shared" si="125"/>
        <v>41</v>
      </c>
      <c r="DW23" s="124">
        <f t="shared" si="126"/>
        <v>2.9359999999999999</v>
      </c>
      <c r="DX23" s="124">
        <f t="shared" si="127"/>
        <v>59.6</v>
      </c>
      <c r="DY23" s="124">
        <f t="shared" si="128"/>
        <v>4.8359999999999985</v>
      </c>
      <c r="DZ23" s="124">
        <f t="shared" si="129"/>
        <v>56.8</v>
      </c>
      <c r="EA23" s="124">
        <f t="shared" si="130"/>
        <v>3.8359999999999999</v>
      </c>
      <c r="EB23" s="124">
        <f t="shared" si="131"/>
        <v>54</v>
      </c>
      <c r="EC23" s="124">
        <f t="shared" si="132"/>
        <v>2.9359999999999999</v>
      </c>
      <c r="ED23" s="124">
        <f t="shared" si="133"/>
        <v>86.7</v>
      </c>
      <c r="EE23" s="124">
        <f t="shared" si="134"/>
        <v>4.8359999999999985</v>
      </c>
      <c r="EF23" s="124">
        <f t="shared" si="135"/>
        <v>83.35</v>
      </c>
      <c r="EG23" s="124">
        <f t="shared" si="136"/>
        <v>3.7360000000000002</v>
      </c>
      <c r="EH23" s="124">
        <f t="shared" si="137"/>
        <v>80</v>
      </c>
      <c r="EI23" s="124">
        <f t="shared" si="138"/>
        <v>2.9359999999999999</v>
      </c>
      <c r="EJ23" s="102">
        <f t="shared" si="143"/>
        <v>5.958823529411764</v>
      </c>
      <c r="EK23" s="102">
        <f t="shared" si="139"/>
        <v>4.5235294117647058</v>
      </c>
      <c r="EL23" s="102">
        <f t="shared" si="139"/>
        <v>5.6588235294117641</v>
      </c>
      <c r="EM23" s="102">
        <f t="shared" si="139"/>
        <v>3.4882352941176467</v>
      </c>
      <c r="EN23" s="102">
        <f t="shared" si="139"/>
        <v>5.4235294117647053</v>
      </c>
      <c r="EO23" s="102">
        <f t="shared" si="139"/>
        <v>2.7705882352941176</v>
      </c>
      <c r="EP23" s="102">
        <f t="shared" si="144"/>
        <v>7.8863636363636367</v>
      </c>
      <c r="EQ23" s="102">
        <f t="shared" si="140"/>
        <v>4.8636363636363642</v>
      </c>
      <c r="ER23" s="102">
        <f t="shared" si="140"/>
        <v>7.5863636363636369</v>
      </c>
      <c r="ES23" s="102">
        <f t="shared" si="140"/>
        <v>3.7227272727272731</v>
      </c>
      <c r="ET23" s="102">
        <f t="shared" si="140"/>
        <v>7.1727272727272728</v>
      </c>
      <c r="EU23" s="102">
        <f t="shared" si="140"/>
        <v>2.8818181818181818</v>
      </c>
      <c r="EV23" s="102">
        <f t="shared" si="140"/>
        <v>10.836363636363634</v>
      </c>
      <c r="EW23" s="102">
        <f t="shared" si="140"/>
        <v>4.9909090909090903</v>
      </c>
      <c r="EX23" s="102">
        <f t="shared" si="140"/>
        <v>10.395454545454548</v>
      </c>
      <c r="EY23" s="102">
        <f t="shared" si="140"/>
        <v>3.9090909090909083</v>
      </c>
      <c r="EZ23" s="102">
        <f t="shared" si="140"/>
        <v>9.754545454545454</v>
      </c>
      <c r="FA23" s="102">
        <f t="shared" si="140"/>
        <v>2.8954545454545451</v>
      </c>
      <c r="FB23" s="102">
        <f t="shared" si="140"/>
        <v>13.818181818181817</v>
      </c>
      <c r="FC23" s="102">
        <f t="shared" si="140"/>
        <v>4.9909090909090903</v>
      </c>
      <c r="FD23" s="102">
        <f t="shared" si="140"/>
        <v>13.277272727272726</v>
      </c>
      <c r="FE23" s="102">
        <f t="shared" si="140"/>
        <v>3.9227272727272728</v>
      </c>
      <c r="FF23" s="102">
        <f t="shared" si="140"/>
        <v>12.577272727272724</v>
      </c>
      <c r="FG23" s="102">
        <f t="shared" si="140"/>
        <v>3.0090909090909088</v>
      </c>
      <c r="FH23" s="102">
        <f t="shared" si="140"/>
        <v>17.61363636363636</v>
      </c>
      <c r="FI23" s="102">
        <f t="shared" si="140"/>
        <v>4.8363636363636378</v>
      </c>
      <c r="FJ23" s="102">
        <f t="shared" si="140"/>
        <v>16.7</v>
      </c>
      <c r="FK23" s="102">
        <f t="shared" si="140"/>
        <v>3.709090909090909</v>
      </c>
      <c r="FL23" s="102">
        <f t="shared" si="140"/>
        <v>15.759090909090906</v>
      </c>
      <c r="FM23" s="102">
        <f t="shared" si="140"/>
        <v>2.8818181818181818</v>
      </c>
    </row>
    <row r="24" spans="1:169" s="89" customFormat="1" x14ac:dyDescent="0.25">
      <c r="A24" s="89">
        <v>-8</v>
      </c>
      <c r="B24" s="120">
        <v>4.3912499999999994</v>
      </c>
      <c r="C24" s="120">
        <v>2.7625000000000002</v>
      </c>
      <c r="D24" s="120">
        <v>6.0075000000000003</v>
      </c>
      <c r="E24" s="120">
        <v>2.7725</v>
      </c>
      <c r="F24" s="120">
        <v>8.2074999999999996</v>
      </c>
      <c r="G24" s="120">
        <v>2.8712499999999999</v>
      </c>
      <c r="H24" s="120">
        <v>10.32</v>
      </c>
      <c r="I24" s="120">
        <v>2.6350000000000002</v>
      </c>
      <c r="J24" s="120">
        <v>12.588749999999999</v>
      </c>
      <c r="K24" s="120">
        <v>2.645</v>
      </c>
      <c r="L24" s="120">
        <v>4.30375</v>
      </c>
      <c r="M24" s="120">
        <v>2.3787500000000001</v>
      </c>
      <c r="N24" s="120">
        <v>5.7437500000000004</v>
      </c>
      <c r="O24" s="120">
        <v>2.5362499999999999</v>
      </c>
      <c r="P24" s="120">
        <v>8.11</v>
      </c>
      <c r="Q24" s="120">
        <v>2.4187500000000002</v>
      </c>
      <c r="R24" s="120">
        <v>10.2325</v>
      </c>
      <c r="S24" s="120">
        <v>2.28125</v>
      </c>
      <c r="T24" s="120">
        <v>11.65375</v>
      </c>
      <c r="U24" s="120">
        <v>2.28125</v>
      </c>
      <c r="V24" s="120">
        <v>4.0699999999999994</v>
      </c>
      <c r="W24" s="120">
        <v>1.8674999999999999</v>
      </c>
      <c r="X24" s="120">
        <v>5.0912500000000005</v>
      </c>
      <c r="Y24" s="120">
        <v>1.9762499999999998</v>
      </c>
      <c r="Z24" s="120">
        <v>6.7374999999999998</v>
      </c>
      <c r="AA24" s="120">
        <v>2.0349999999999997</v>
      </c>
      <c r="AB24" s="120">
        <v>9.58</v>
      </c>
      <c r="AC24" s="120">
        <v>1.8287500000000001</v>
      </c>
      <c r="AD24" s="120">
        <v>10.397499999999999</v>
      </c>
      <c r="AE24" s="120">
        <v>1.8187500000000001</v>
      </c>
      <c r="AF24" s="125">
        <f t="shared" si="141"/>
        <v>33.313793103448276</v>
      </c>
      <c r="AG24" s="125">
        <f t="shared" si="89"/>
        <v>3.0859999999999994</v>
      </c>
      <c r="AH24" s="125">
        <f t="shared" si="89"/>
        <v>38.643999999999998</v>
      </c>
      <c r="AI24" s="125">
        <f t="shared" si="89"/>
        <v>3.1759999999999993</v>
      </c>
      <c r="AJ24" s="125">
        <f t="shared" si="89"/>
        <v>49.970689655172414</v>
      </c>
      <c r="AK24" s="125">
        <f t="shared" si="89"/>
        <v>3.0559999999999996</v>
      </c>
      <c r="AL24" s="125">
        <f t="shared" si="89"/>
        <v>29.751724137931035</v>
      </c>
      <c r="AM24" s="125">
        <f t="shared" si="89"/>
        <v>2.5340000000000003</v>
      </c>
      <c r="AN24" s="125">
        <f t="shared" si="89"/>
        <v>34.511999999999993</v>
      </c>
      <c r="AO24" s="125">
        <f t="shared" si="89"/>
        <v>2.6240000000000001</v>
      </c>
      <c r="AP24" s="125">
        <f t="shared" si="89"/>
        <v>44.627586206896545</v>
      </c>
      <c r="AQ24" s="125">
        <f t="shared" si="89"/>
        <v>2.5040000000000004</v>
      </c>
      <c r="AR24" s="125">
        <f t="shared" si="89"/>
        <v>26.26896551724138</v>
      </c>
      <c r="AS24" s="125">
        <f t="shared" si="89"/>
        <v>2.04</v>
      </c>
      <c r="AT24" s="125">
        <f t="shared" si="89"/>
        <v>30.471999999999998</v>
      </c>
      <c r="AU24" s="125">
        <f t="shared" si="89"/>
        <v>2.13</v>
      </c>
      <c r="AV24" s="125">
        <f t="shared" si="89"/>
        <v>39.403448275862068</v>
      </c>
      <c r="AW24" s="125">
        <f t="shared" si="89"/>
        <v>2.0100000000000002</v>
      </c>
      <c r="AX24" s="122">
        <f>(AX$25-AX$22)/3+AX23</f>
        <v>4.1499999999999995</v>
      </c>
      <c r="AY24" s="122">
        <f t="shared" si="145"/>
        <v>2.8699999999999997</v>
      </c>
      <c r="AZ24" s="122">
        <f t="shared" si="145"/>
        <v>5.6533333333333324</v>
      </c>
      <c r="BA24" s="122">
        <f t="shared" si="145"/>
        <v>3.0266666666666668</v>
      </c>
      <c r="BB24" s="122">
        <f t="shared" si="145"/>
        <v>6.3366666666666669</v>
      </c>
      <c r="BC24" s="122">
        <f t="shared" si="145"/>
        <v>2.5333333333333337</v>
      </c>
      <c r="BD24" s="122">
        <f t="shared" si="145"/>
        <v>12.43</v>
      </c>
      <c r="BE24" s="122">
        <f t="shared" si="145"/>
        <v>3.2600000000000002</v>
      </c>
      <c r="BF24" s="122">
        <f t="shared" si="145"/>
        <v>4.0199999999999996</v>
      </c>
      <c r="BG24" s="122">
        <f t="shared" si="145"/>
        <v>2.476666666666667</v>
      </c>
      <c r="BH24" s="122">
        <f t="shared" si="145"/>
        <v>5.6400000000000006</v>
      </c>
      <c r="BI24" s="122">
        <f t="shared" si="145"/>
        <v>2.583333333333333</v>
      </c>
      <c r="BJ24" s="122">
        <f t="shared" si="145"/>
        <v>6.36</v>
      </c>
      <c r="BK24" s="122">
        <f t="shared" si="145"/>
        <v>2.1666666666666665</v>
      </c>
      <c r="BL24" s="122">
        <f t="shared" si="145"/>
        <v>12.193333333333333</v>
      </c>
      <c r="BM24" s="122">
        <f t="shared" si="145"/>
        <v>2.7133333333333329</v>
      </c>
      <c r="BN24" s="122">
        <f t="shared" si="145"/>
        <v>3.8733333333333335</v>
      </c>
      <c r="BO24" s="122">
        <f t="shared" si="145"/>
        <v>2.1266666666666665</v>
      </c>
      <c r="BP24" s="122">
        <f t="shared" si="145"/>
        <v>5.53</v>
      </c>
      <c r="BQ24" s="122">
        <f t="shared" si="145"/>
        <v>2.2033333333333331</v>
      </c>
      <c r="BR24" s="122">
        <f t="shared" si="145"/>
        <v>6.2933333333333339</v>
      </c>
      <c r="BS24" s="122">
        <f t="shared" si="145"/>
        <v>1.8633333333333333</v>
      </c>
      <c r="BT24" s="122">
        <f t="shared" si="145"/>
        <v>11.893333333333334</v>
      </c>
      <c r="BU24" s="122">
        <f t="shared" si="145"/>
        <v>2.2933333333333334</v>
      </c>
      <c r="BV24" s="123">
        <v>22.9</v>
      </c>
      <c r="BW24" s="123">
        <f t="shared" si="142"/>
        <v>5.3579999999999979</v>
      </c>
      <c r="BX24" s="123">
        <f t="shared" si="90"/>
        <v>23.1</v>
      </c>
      <c r="BY24" s="123">
        <f t="shared" si="90"/>
        <v>4.2579999999999982</v>
      </c>
      <c r="BZ24" s="123">
        <f t="shared" si="90"/>
        <v>23.3</v>
      </c>
      <c r="CA24" s="123">
        <f t="shared" si="90"/>
        <v>3.488</v>
      </c>
      <c r="CB24" s="123">
        <f t="shared" si="90"/>
        <v>28.9</v>
      </c>
      <c r="CC24" s="123">
        <f t="shared" si="90"/>
        <v>5.3879999999999981</v>
      </c>
      <c r="CD24" s="123">
        <f t="shared" si="90"/>
        <v>29.1</v>
      </c>
      <c r="CE24" s="123">
        <f t="shared" si="90"/>
        <v>4.267999999999998</v>
      </c>
      <c r="CF24" s="123">
        <f t="shared" si="90"/>
        <v>29.3</v>
      </c>
      <c r="CG24" s="123">
        <f t="shared" si="90"/>
        <v>3.4180000000000001</v>
      </c>
      <c r="CH24" s="123">
        <f t="shared" si="90"/>
        <v>38.700000000000003</v>
      </c>
      <c r="CI24" s="123">
        <f t="shared" si="90"/>
        <v>4.9379999999999979</v>
      </c>
      <c r="CJ24" s="123">
        <f t="shared" si="90"/>
        <v>38.5</v>
      </c>
      <c r="CK24" s="123">
        <f t="shared" si="90"/>
        <v>4.2579999999999982</v>
      </c>
      <c r="CL24" s="123">
        <f t="shared" si="90"/>
        <v>38.799999999999997</v>
      </c>
      <c r="CM24" s="123">
        <f t="shared" si="90"/>
        <v>3.4079999999999999</v>
      </c>
      <c r="CN24" s="123">
        <f t="shared" si="91"/>
        <v>47.5</v>
      </c>
      <c r="CO24" s="123">
        <f t="shared" si="92"/>
        <v>5.2479999999999984</v>
      </c>
      <c r="CP24" s="123">
        <f t="shared" si="93"/>
        <v>47</v>
      </c>
      <c r="CQ24" s="123">
        <f t="shared" si="94"/>
        <v>4.2379999999999987</v>
      </c>
      <c r="CR24" s="123">
        <f t="shared" si="95"/>
        <v>47.7</v>
      </c>
      <c r="CS24" s="123">
        <f t="shared" si="96"/>
        <v>3.508</v>
      </c>
      <c r="CT24" s="123">
        <f t="shared" si="97"/>
        <v>54.9</v>
      </c>
      <c r="CU24" s="123">
        <f t="shared" si="98"/>
        <v>5.2479999999999984</v>
      </c>
      <c r="CV24" s="123">
        <f t="shared" si="99"/>
        <v>56.2</v>
      </c>
      <c r="CW24" s="123">
        <f t="shared" si="100"/>
        <v>4.2379999999999987</v>
      </c>
      <c r="CX24" s="123">
        <f t="shared" si="101"/>
        <v>57.2</v>
      </c>
      <c r="CY24" s="123">
        <f t="shared" si="102"/>
        <v>3.508</v>
      </c>
      <c r="CZ24" s="123">
        <f t="shared" si="103"/>
        <v>64</v>
      </c>
      <c r="DA24" s="123">
        <f t="shared" si="104"/>
        <v>5.2979999999999983</v>
      </c>
      <c r="DB24" s="123">
        <f t="shared" si="105"/>
        <v>64.7</v>
      </c>
      <c r="DC24" s="123">
        <f t="shared" si="106"/>
        <v>4.2179999999999982</v>
      </c>
      <c r="DD24" s="123">
        <f t="shared" si="107"/>
        <v>64</v>
      </c>
      <c r="DE24" s="123">
        <f t="shared" si="108"/>
        <v>3.3079999999999998</v>
      </c>
      <c r="DF24" s="123">
        <f t="shared" si="109"/>
        <v>72.8</v>
      </c>
      <c r="DG24" s="123">
        <f t="shared" si="110"/>
        <v>5.0579999999999981</v>
      </c>
      <c r="DH24" s="123">
        <f t="shared" si="111"/>
        <v>74.099999999999994</v>
      </c>
      <c r="DI24" s="123">
        <f t="shared" si="112"/>
        <v>4.0979999999999981</v>
      </c>
      <c r="DJ24" s="123">
        <f t="shared" si="113"/>
        <v>73.900000000000006</v>
      </c>
      <c r="DK24" s="123">
        <f t="shared" si="114"/>
        <v>3.3879999999999999</v>
      </c>
      <c r="DL24" s="123">
        <f t="shared" si="115"/>
        <v>78.3</v>
      </c>
      <c r="DM24" s="123">
        <f t="shared" si="116"/>
        <v>5.1079999999999979</v>
      </c>
      <c r="DN24" s="123">
        <f t="shared" si="117"/>
        <v>80.3</v>
      </c>
      <c r="DO24" s="123">
        <f t="shared" si="118"/>
        <v>4.2079999999999984</v>
      </c>
      <c r="DP24" s="123">
        <f t="shared" si="119"/>
        <v>81.099999999999994</v>
      </c>
      <c r="DQ24" s="123">
        <f t="shared" si="120"/>
        <v>3.5380000000000003</v>
      </c>
      <c r="DR24" s="124">
        <f t="shared" si="121"/>
        <v>44.6</v>
      </c>
      <c r="DS24" s="124">
        <f t="shared" si="122"/>
        <v>4.5479999999999983</v>
      </c>
      <c r="DT24" s="124">
        <f t="shared" si="123"/>
        <v>42.8</v>
      </c>
      <c r="DU24" s="124">
        <f t="shared" si="124"/>
        <v>3.548</v>
      </c>
      <c r="DV24" s="124">
        <f t="shared" si="125"/>
        <v>41</v>
      </c>
      <c r="DW24" s="124">
        <f t="shared" si="126"/>
        <v>2.948</v>
      </c>
      <c r="DX24" s="124">
        <f t="shared" si="127"/>
        <v>59.6</v>
      </c>
      <c r="DY24" s="124">
        <f t="shared" si="128"/>
        <v>4.8479999999999981</v>
      </c>
      <c r="DZ24" s="124">
        <f t="shared" si="129"/>
        <v>56.8</v>
      </c>
      <c r="EA24" s="124">
        <f t="shared" si="130"/>
        <v>3.8479999999999999</v>
      </c>
      <c r="EB24" s="124">
        <f t="shared" si="131"/>
        <v>54</v>
      </c>
      <c r="EC24" s="124">
        <f t="shared" si="132"/>
        <v>2.948</v>
      </c>
      <c r="ED24" s="124">
        <f t="shared" si="133"/>
        <v>86.7</v>
      </c>
      <c r="EE24" s="124">
        <f t="shared" si="134"/>
        <v>4.8479999999999981</v>
      </c>
      <c r="EF24" s="124">
        <f t="shared" si="135"/>
        <v>83.35</v>
      </c>
      <c r="EG24" s="124">
        <f t="shared" si="136"/>
        <v>3.7480000000000002</v>
      </c>
      <c r="EH24" s="124">
        <f t="shared" si="137"/>
        <v>80</v>
      </c>
      <c r="EI24" s="124">
        <f t="shared" si="138"/>
        <v>2.948</v>
      </c>
      <c r="EJ24" s="102">
        <f t="shared" si="143"/>
        <v>6.011764705882352</v>
      </c>
      <c r="EK24" s="102">
        <f t="shared" si="139"/>
        <v>4.5647058823529409</v>
      </c>
      <c r="EL24" s="102">
        <f t="shared" si="139"/>
        <v>5.7117647058823522</v>
      </c>
      <c r="EM24" s="102">
        <f t="shared" si="139"/>
        <v>3.5176470588235289</v>
      </c>
      <c r="EN24" s="102">
        <f t="shared" si="139"/>
        <v>5.4647058823529404</v>
      </c>
      <c r="EO24" s="102">
        <f t="shared" si="139"/>
        <v>2.7941176470588234</v>
      </c>
      <c r="EP24" s="102">
        <f t="shared" si="144"/>
        <v>7.9818181818181824</v>
      </c>
      <c r="EQ24" s="102">
        <f t="shared" si="140"/>
        <v>4.9181818181818189</v>
      </c>
      <c r="ER24" s="102">
        <f t="shared" si="140"/>
        <v>7.6818181818181825</v>
      </c>
      <c r="ES24" s="102">
        <f t="shared" si="140"/>
        <v>3.7636363636363641</v>
      </c>
      <c r="ET24" s="102">
        <f t="shared" si="140"/>
        <v>7.2636363636363637</v>
      </c>
      <c r="EU24" s="102">
        <f t="shared" si="140"/>
        <v>2.9090909090909092</v>
      </c>
      <c r="EV24" s="102">
        <f t="shared" si="140"/>
        <v>10.981818181818179</v>
      </c>
      <c r="EW24" s="102">
        <f t="shared" si="140"/>
        <v>5.0545454545454538</v>
      </c>
      <c r="EX24" s="102">
        <f t="shared" si="140"/>
        <v>10.527272727272731</v>
      </c>
      <c r="EY24" s="102">
        <f t="shared" si="140"/>
        <v>3.9454545454545444</v>
      </c>
      <c r="EZ24" s="102">
        <f t="shared" si="140"/>
        <v>9.8727272727272712</v>
      </c>
      <c r="FA24" s="102">
        <f t="shared" si="140"/>
        <v>2.9272727272727268</v>
      </c>
      <c r="FB24" s="102">
        <f t="shared" si="140"/>
        <v>13.990909090909089</v>
      </c>
      <c r="FC24" s="102">
        <f t="shared" si="140"/>
        <v>5.0545454545454538</v>
      </c>
      <c r="FD24" s="102">
        <f t="shared" si="140"/>
        <v>13.436363636363634</v>
      </c>
      <c r="FE24" s="102">
        <f t="shared" si="140"/>
        <v>3.9636363636363638</v>
      </c>
      <c r="FF24" s="102">
        <f t="shared" si="140"/>
        <v>12.736363636363633</v>
      </c>
      <c r="FG24" s="102">
        <f t="shared" si="140"/>
        <v>3.045454545454545</v>
      </c>
      <c r="FH24" s="102">
        <f t="shared" si="140"/>
        <v>17.818181818181813</v>
      </c>
      <c r="FI24" s="102">
        <f t="shared" si="140"/>
        <v>4.8818181818181836</v>
      </c>
      <c r="FJ24" s="102">
        <f t="shared" si="140"/>
        <v>16.899999999999999</v>
      </c>
      <c r="FK24" s="102">
        <f t="shared" si="140"/>
        <v>3.7454545454545451</v>
      </c>
      <c r="FL24" s="102">
        <f t="shared" si="140"/>
        <v>15.945454545454542</v>
      </c>
      <c r="FM24" s="102">
        <f t="shared" si="140"/>
        <v>2.9090909090909092</v>
      </c>
    </row>
    <row r="25" spans="1:169" s="89" customFormat="1" x14ac:dyDescent="0.25">
      <c r="A25" s="89">
        <v>-7</v>
      </c>
      <c r="B25" s="120">
        <v>4.51</v>
      </c>
      <c r="C25" s="120">
        <v>2.81</v>
      </c>
      <c r="D25" s="120">
        <v>6.17</v>
      </c>
      <c r="E25" s="120">
        <v>2.82</v>
      </c>
      <c r="F25" s="120">
        <v>8.43</v>
      </c>
      <c r="G25" s="120">
        <v>2.92</v>
      </c>
      <c r="H25" s="120">
        <v>10.6</v>
      </c>
      <c r="I25" s="120">
        <v>2.68</v>
      </c>
      <c r="J25" s="120">
        <v>12.93</v>
      </c>
      <c r="K25" s="120">
        <v>2.69</v>
      </c>
      <c r="L25" s="120">
        <v>4.42</v>
      </c>
      <c r="M25" s="120">
        <v>2.42</v>
      </c>
      <c r="N25" s="120">
        <v>5.9</v>
      </c>
      <c r="O25" s="120">
        <v>2.58</v>
      </c>
      <c r="P25" s="120">
        <v>8.33</v>
      </c>
      <c r="Q25" s="120">
        <v>2.46</v>
      </c>
      <c r="R25" s="120">
        <v>10.51</v>
      </c>
      <c r="S25" s="120">
        <v>2.3199999999999998</v>
      </c>
      <c r="T25" s="120">
        <v>11.97</v>
      </c>
      <c r="U25" s="120">
        <v>2.3199999999999998</v>
      </c>
      <c r="V25" s="120">
        <v>4.18</v>
      </c>
      <c r="W25" s="120">
        <v>1.9</v>
      </c>
      <c r="X25" s="120">
        <v>5.23</v>
      </c>
      <c r="Y25" s="120">
        <v>2.0099999999999998</v>
      </c>
      <c r="Z25" s="120">
        <v>6.92</v>
      </c>
      <c r="AA25" s="120">
        <v>2.0699999999999998</v>
      </c>
      <c r="AB25" s="120">
        <v>9.84</v>
      </c>
      <c r="AC25" s="120">
        <v>1.86</v>
      </c>
      <c r="AD25" s="120">
        <v>10.68</v>
      </c>
      <c r="AE25" s="120">
        <v>1.85</v>
      </c>
      <c r="AF25" s="125">
        <v>34</v>
      </c>
      <c r="AG25" s="125">
        <v>3.16</v>
      </c>
      <c r="AH25" s="125">
        <v>39.44</v>
      </c>
      <c r="AI25" s="125">
        <v>3.25</v>
      </c>
      <c r="AJ25" s="125">
        <v>51</v>
      </c>
      <c r="AK25" s="125">
        <v>3.1300000000000003</v>
      </c>
      <c r="AL25" s="125">
        <v>30.517241379310342</v>
      </c>
      <c r="AM25" s="125">
        <v>2.5900000000000003</v>
      </c>
      <c r="AN25" s="125">
        <v>35.4</v>
      </c>
      <c r="AO25" s="125">
        <v>2.68</v>
      </c>
      <c r="AP25" s="125">
        <v>45.775862068965509</v>
      </c>
      <c r="AQ25" s="125">
        <v>2.5600000000000005</v>
      </c>
      <c r="AR25" s="125">
        <v>26.706896551724135</v>
      </c>
      <c r="AS25" s="125">
        <v>2.08</v>
      </c>
      <c r="AT25" s="125">
        <v>30.98</v>
      </c>
      <c r="AU25" s="125">
        <v>2.17</v>
      </c>
      <c r="AV25" s="125">
        <v>40.060344827586206</v>
      </c>
      <c r="AW25" s="125">
        <v>2.0500000000000003</v>
      </c>
      <c r="AX25" s="122">
        <v>4.25</v>
      </c>
      <c r="AY25" s="122">
        <v>2.92</v>
      </c>
      <c r="AZ25" s="122">
        <v>5.81</v>
      </c>
      <c r="BA25" s="122">
        <v>3.09</v>
      </c>
      <c r="BB25" s="122">
        <v>6.49</v>
      </c>
      <c r="BC25" s="122">
        <v>2.58</v>
      </c>
      <c r="BD25" s="122">
        <v>12.75</v>
      </c>
      <c r="BE25" s="122">
        <v>3.32</v>
      </c>
      <c r="BF25" s="122">
        <v>4.12</v>
      </c>
      <c r="BG25" s="122">
        <v>2.52</v>
      </c>
      <c r="BH25" s="122">
        <v>5.79</v>
      </c>
      <c r="BI25" s="122">
        <v>2.63</v>
      </c>
      <c r="BJ25" s="122">
        <v>6.51</v>
      </c>
      <c r="BK25" s="122">
        <v>2.2000000000000002</v>
      </c>
      <c r="BL25" s="122">
        <v>12.49</v>
      </c>
      <c r="BM25" s="122">
        <v>2.76</v>
      </c>
      <c r="BN25" s="122">
        <v>3.97</v>
      </c>
      <c r="BO25" s="122">
        <v>2.16</v>
      </c>
      <c r="BP25" s="122">
        <v>5.65</v>
      </c>
      <c r="BQ25" s="122">
        <v>2.2400000000000002</v>
      </c>
      <c r="BR25" s="122">
        <v>6.41</v>
      </c>
      <c r="BS25" s="122">
        <v>1.89</v>
      </c>
      <c r="BT25" s="122">
        <v>12.17</v>
      </c>
      <c r="BU25" s="122">
        <v>2.33</v>
      </c>
      <c r="BV25" s="123">
        <v>22.9</v>
      </c>
      <c r="BW25" s="123">
        <v>5.3699999999999992</v>
      </c>
      <c r="BX25" s="123">
        <v>23.1</v>
      </c>
      <c r="BY25" s="123">
        <v>4.2699999999999996</v>
      </c>
      <c r="BZ25" s="123">
        <v>23.3</v>
      </c>
      <c r="CA25" s="123">
        <v>3.5</v>
      </c>
      <c r="CB25" s="123">
        <v>28.9</v>
      </c>
      <c r="CC25" s="123">
        <v>5.3999999999999995</v>
      </c>
      <c r="CD25" s="123">
        <v>29.1</v>
      </c>
      <c r="CE25" s="123">
        <v>4.2799999999999994</v>
      </c>
      <c r="CF25" s="123">
        <v>29.3</v>
      </c>
      <c r="CG25" s="123">
        <v>3.43</v>
      </c>
      <c r="CH25" s="123">
        <v>38.700000000000003</v>
      </c>
      <c r="CI25" s="123">
        <v>4.9499999999999993</v>
      </c>
      <c r="CJ25" s="123">
        <v>38.5</v>
      </c>
      <c r="CK25" s="123">
        <v>4.2699999999999996</v>
      </c>
      <c r="CL25" s="123">
        <v>38.799999999999997</v>
      </c>
      <c r="CM25" s="123">
        <v>3.42</v>
      </c>
      <c r="CN25" s="123">
        <v>47.5</v>
      </c>
      <c r="CO25" s="123">
        <v>5.26</v>
      </c>
      <c r="CP25" s="123">
        <v>47</v>
      </c>
      <c r="CQ25" s="123">
        <v>4.25</v>
      </c>
      <c r="CR25" s="123">
        <v>47.7</v>
      </c>
      <c r="CS25" s="123">
        <v>3.52</v>
      </c>
      <c r="CT25" s="123">
        <v>54.9</v>
      </c>
      <c r="CU25" s="123">
        <v>5.26</v>
      </c>
      <c r="CV25" s="123">
        <v>56.2</v>
      </c>
      <c r="CW25" s="123">
        <v>4.25</v>
      </c>
      <c r="CX25" s="123">
        <v>57.2</v>
      </c>
      <c r="CY25" s="123">
        <v>3.52</v>
      </c>
      <c r="CZ25" s="123">
        <v>64</v>
      </c>
      <c r="DA25" s="123">
        <v>5.31</v>
      </c>
      <c r="DB25" s="123">
        <v>64.7</v>
      </c>
      <c r="DC25" s="123">
        <v>4.2299999999999995</v>
      </c>
      <c r="DD25" s="123">
        <v>64</v>
      </c>
      <c r="DE25" s="123">
        <v>3.32</v>
      </c>
      <c r="DF25" s="123">
        <v>72.8</v>
      </c>
      <c r="DG25" s="123">
        <v>5.0699999999999994</v>
      </c>
      <c r="DH25" s="123">
        <v>74.099999999999994</v>
      </c>
      <c r="DI25" s="123">
        <v>4.1099999999999994</v>
      </c>
      <c r="DJ25" s="123">
        <v>73.900000000000006</v>
      </c>
      <c r="DK25" s="123">
        <v>3.4</v>
      </c>
      <c r="DL25" s="123">
        <v>78.3</v>
      </c>
      <c r="DM25" s="123">
        <v>5.1199999999999992</v>
      </c>
      <c r="DN25" s="123">
        <v>80.3</v>
      </c>
      <c r="DO25" s="123">
        <v>4.22</v>
      </c>
      <c r="DP25" s="123">
        <v>81.099999999999994</v>
      </c>
      <c r="DQ25" s="123">
        <v>3.5500000000000003</v>
      </c>
      <c r="DR25" s="124">
        <v>44.6</v>
      </c>
      <c r="DS25" s="124">
        <v>4.5599999999999996</v>
      </c>
      <c r="DT25" s="124">
        <v>42.8</v>
      </c>
      <c r="DU25" s="124">
        <v>3.56</v>
      </c>
      <c r="DV25" s="124">
        <v>41</v>
      </c>
      <c r="DW25" s="124">
        <v>2.96</v>
      </c>
      <c r="DX25" s="124">
        <v>59.6</v>
      </c>
      <c r="DY25" s="124">
        <v>4.8599999999999994</v>
      </c>
      <c r="DZ25" s="124">
        <v>56.8</v>
      </c>
      <c r="EA25" s="124">
        <v>3.86</v>
      </c>
      <c r="EB25" s="124">
        <v>54</v>
      </c>
      <c r="EC25" s="124">
        <v>2.96</v>
      </c>
      <c r="ED25" s="124">
        <v>86.7</v>
      </c>
      <c r="EE25" s="124">
        <v>4.8599999999999994</v>
      </c>
      <c r="EF25" s="124">
        <v>83.35</v>
      </c>
      <c r="EG25" s="124">
        <v>3.7600000000000002</v>
      </c>
      <c r="EH25" s="124">
        <v>80</v>
      </c>
      <c r="EI25" s="124">
        <v>2.96</v>
      </c>
      <c r="EJ25" s="102">
        <f t="shared" si="143"/>
        <v>6.0647058823529401</v>
      </c>
      <c r="EK25" s="102">
        <f t="shared" si="139"/>
        <v>4.6058823529411761</v>
      </c>
      <c r="EL25" s="102">
        <f t="shared" si="139"/>
        <v>5.7647058823529402</v>
      </c>
      <c r="EM25" s="102">
        <f t="shared" si="139"/>
        <v>3.5470588235294112</v>
      </c>
      <c r="EN25" s="102">
        <f t="shared" si="139"/>
        <v>5.5058823529411756</v>
      </c>
      <c r="EO25" s="102">
        <f t="shared" si="139"/>
        <v>2.8176470588235292</v>
      </c>
      <c r="EP25" s="102">
        <f t="shared" si="144"/>
        <v>8.077272727272728</v>
      </c>
      <c r="EQ25" s="102">
        <f t="shared" si="140"/>
        <v>4.9727272727272736</v>
      </c>
      <c r="ER25" s="102">
        <f t="shared" si="140"/>
        <v>7.7772727272727282</v>
      </c>
      <c r="ES25" s="102">
        <f t="shared" si="140"/>
        <v>3.8045454545454551</v>
      </c>
      <c r="ET25" s="102">
        <f t="shared" si="140"/>
        <v>7.3545454545454545</v>
      </c>
      <c r="EU25" s="102">
        <f t="shared" si="140"/>
        <v>2.9363636363636365</v>
      </c>
      <c r="EV25" s="102">
        <f t="shared" si="140"/>
        <v>11.127272727272723</v>
      </c>
      <c r="EW25" s="102">
        <f t="shared" si="140"/>
        <v>5.1181818181818173</v>
      </c>
      <c r="EX25" s="102">
        <f t="shared" si="140"/>
        <v>10.659090909090914</v>
      </c>
      <c r="EY25" s="102">
        <f t="shared" si="140"/>
        <v>3.9818181818181806</v>
      </c>
      <c r="EZ25" s="102">
        <f t="shared" si="140"/>
        <v>9.9909090909090885</v>
      </c>
      <c r="FA25" s="102">
        <f t="shared" si="140"/>
        <v>2.9590909090909085</v>
      </c>
      <c r="FB25" s="102">
        <f t="shared" si="140"/>
        <v>14.16363636363636</v>
      </c>
      <c r="FC25" s="102">
        <f t="shared" si="140"/>
        <v>5.1181818181818173</v>
      </c>
      <c r="FD25" s="102">
        <f t="shared" si="140"/>
        <v>13.595454545454542</v>
      </c>
      <c r="FE25" s="102">
        <f t="shared" si="140"/>
        <v>4.0045454545454549</v>
      </c>
      <c r="FF25" s="102">
        <f t="shared" si="140"/>
        <v>12.895454545454541</v>
      </c>
      <c r="FG25" s="102">
        <f t="shared" si="140"/>
        <v>3.0818181818181811</v>
      </c>
      <c r="FH25" s="102">
        <f t="shared" si="140"/>
        <v>18.022727272727266</v>
      </c>
      <c r="FI25" s="102">
        <f t="shared" si="140"/>
        <v>4.9272727272727295</v>
      </c>
      <c r="FJ25" s="102">
        <f t="shared" si="140"/>
        <v>17.099999999999998</v>
      </c>
      <c r="FK25" s="102">
        <f t="shared" si="140"/>
        <v>3.7818181818181813</v>
      </c>
      <c r="FL25" s="102">
        <f t="shared" si="140"/>
        <v>16.131818181818179</v>
      </c>
      <c r="FM25" s="102">
        <f t="shared" si="140"/>
        <v>2.9363636363636365</v>
      </c>
    </row>
    <row r="26" spans="1:169" s="89" customFormat="1" x14ac:dyDescent="0.25">
      <c r="A26" s="89">
        <v>-6</v>
      </c>
      <c r="B26" s="120">
        <v>4.6287500000000001</v>
      </c>
      <c r="C26" s="120">
        <v>2.8574999999999999</v>
      </c>
      <c r="D26" s="120">
        <v>6.3324999999999996</v>
      </c>
      <c r="E26" s="120">
        <v>2.8674999999999997</v>
      </c>
      <c r="F26" s="120">
        <v>8.6792857142857134</v>
      </c>
      <c r="G26" s="120">
        <v>2.9578571428571427</v>
      </c>
      <c r="H26" s="120">
        <v>10.879999999999999</v>
      </c>
      <c r="I26" s="120">
        <v>2.7250000000000001</v>
      </c>
      <c r="J26" s="120">
        <v>13.27125</v>
      </c>
      <c r="K26" s="120">
        <v>2.7349999999999999</v>
      </c>
      <c r="L26" s="120">
        <v>4.5362499999999999</v>
      </c>
      <c r="M26" s="120">
        <v>2.4612499999999997</v>
      </c>
      <c r="N26" s="120">
        <v>6.0562500000000004</v>
      </c>
      <c r="O26" s="120">
        <v>2.6237500000000002</v>
      </c>
      <c r="P26" s="120">
        <v>8.576428571428572</v>
      </c>
      <c r="Q26" s="120">
        <v>2.492142857142857</v>
      </c>
      <c r="R26" s="120">
        <v>10.7875</v>
      </c>
      <c r="S26" s="120">
        <v>2.3587499999999997</v>
      </c>
      <c r="T26" s="120">
        <v>12.286250000000001</v>
      </c>
      <c r="U26" s="120">
        <v>2.3587499999999997</v>
      </c>
      <c r="V26" s="120">
        <v>4.29</v>
      </c>
      <c r="W26" s="120">
        <v>1.9324999999999999</v>
      </c>
      <c r="X26" s="120">
        <v>5.3687500000000004</v>
      </c>
      <c r="Y26" s="120">
        <v>2.0437499999999997</v>
      </c>
      <c r="Z26" s="120">
        <v>7.1328571428571426</v>
      </c>
      <c r="AA26" s="120">
        <v>2.097142857142857</v>
      </c>
      <c r="AB26" s="120">
        <v>10.1</v>
      </c>
      <c r="AC26" s="120">
        <v>1.8912500000000001</v>
      </c>
      <c r="AD26" s="120">
        <v>10.962499999999999</v>
      </c>
      <c r="AE26" s="120">
        <v>1.8812500000000001</v>
      </c>
      <c r="AF26" s="125">
        <f>(AF$34-AF$25)/9+AF25</f>
        <v>34.519157088122604</v>
      </c>
      <c r="AG26" s="125">
        <f t="shared" ref="AG26:AW33" si="146">(AG$34-AG$25)/9+AG25</f>
        <v>3.246666666666667</v>
      </c>
      <c r="AH26" s="125">
        <f t="shared" si="146"/>
        <v>40.042222222222222</v>
      </c>
      <c r="AI26" s="125">
        <f t="shared" si="146"/>
        <v>3.3366666666666669</v>
      </c>
      <c r="AJ26" s="125">
        <f t="shared" si="146"/>
        <v>51.77873563218391</v>
      </c>
      <c r="AK26" s="125">
        <f t="shared" si="146"/>
        <v>3.2166666666666672</v>
      </c>
      <c r="AL26" s="125">
        <f t="shared" si="146"/>
        <v>31.053639846743291</v>
      </c>
      <c r="AM26" s="125">
        <f t="shared" si="146"/>
        <v>2.657777777777778</v>
      </c>
      <c r="AN26" s="125">
        <f t="shared" si="146"/>
        <v>36.022222222222219</v>
      </c>
      <c r="AO26" s="125">
        <f t="shared" si="146"/>
        <v>2.7477777777777779</v>
      </c>
      <c r="AP26" s="125">
        <f t="shared" si="146"/>
        <v>46.580459770114935</v>
      </c>
      <c r="AQ26" s="125">
        <f t="shared" si="146"/>
        <v>2.6277777777777782</v>
      </c>
      <c r="AR26" s="125">
        <f t="shared" si="146"/>
        <v>27.256704980842908</v>
      </c>
      <c r="AS26" s="125">
        <f t="shared" si="146"/>
        <v>2.1355555555555554</v>
      </c>
      <c r="AT26" s="125">
        <f t="shared" si="146"/>
        <v>31.617777777777778</v>
      </c>
      <c r="AU26" s="125">
        <f t="shared" si="146"/>
        <v>2.2255555555555553</v>
      </c>
      <c r="AV26" s="125">
        <f t="shared" si="146"/>
        <v>40.885057471264368</v>
      </c>
      <c r="AW26" s="125">
        <f t="shared" si="146"/>
        <v>2.1055555555555556</v>
      </c>
      <c r="AX26" s="122">
        <f>(AX$34-AX$25)/9+AX25</f>
        <v>4.4477777777777776</v>
      </c>
      <c r="AY26" s="122">
        <f t="shared" ref="AY26:BU33" si="147">(AY$34-AY$25)/9+AY25</f>
        <v>3.0366666666666666</v>
      </c>
      <c r="AZ26" s="122">
        <f t="shared" si="147"/>
        <v>5.9833333333333334</v>
      </c>
      <c r="BA26" s="122">
        <f t="shared" si="147"/>
        <v>3.1633333333333331</v>
      </c>
      <c r="BB26" s="122">
        <f t="shared" si="147"/>
        <v>6.8355555555555556</v>
      </c>
      <c r="BC26" s="122">
        <f t="shared" si="147"/>
        <v>2.6844444444444444</v>
      </c>
      <c r="BD26" s="122">
        <f t="shared" si="147"/>
        <v>13.095555555555556</v>
      </c>
      <c r="BE26" s="122">
        <f t="shared" si="147"/>
        <v>3.3855555555555554</v>
      </c>
      <c r="BF26" s="122">
        <f t="shared" si="147"/>
        <v>4.3111111111111109</v>
      </c>
      <c r="BG26" s="122">
        <f t="shared" si="147"/>
        <v>2.6144444444444446</v>
      </c>
      <c r="BH26" s="122">
        <f t="shared" si="147"/>
        <v>5.9555555555555557</v>
      </c>
      <c r="BI26" s="122">
        <f t="shared" si="147"/>
        <v>2.6855555555555553</v>
      </c>
      <c r="BJ26" s="122">
        <f t="shared" si="147"/>
        <v>6.8177777777777777</v>
      </c>
      <c r="BK26" s="122">
        <f t="shared" si="147"/>
        <v>2.2811111111111111</v>
      </c>
      <c r="BL26" s="122">
        <f t="shared" si="147"/>
        <v>12.816666666666666</v>
      </c>
      <c r="BM26" s="122">
        <f t="shared" si="147"/>
        <v>2.8122222222222222</v>
      </c>
      <c r="BN26" s="122">
        <f t="shared" si="147"/>
        <v>4.1555555555555559</v>
      </c>
      <c r="BO26" s="122">
        <f t="shared" si="147"/>
        <v>2.2377777777777781</v>
      </c>
      <c r="BP26" s="122">
        <f t="shared" si="147"/>
        <v>5.778888888888889</v>
      </c>
      <c r="BQ26" s="122">
        <f t="shared" si="147"/>
        <v>2.2844444444444445</v>
      </c>
      <c r="BR26" s="122">
        <f t="shared" si="147"/>
        <v>6.78</v>
      </c>
      <c r="BS26" s="122">
        <f t="shared" si="147"/>
        <v>1.9855555555555555</v>
      </c>
      <c r="BT26" s="122">
        <f t="shared" si="147"/>
        <v>12.417777777777777</v>
      </c>
      <c r="BU26" s="122">
        <f t="shared" si="147"/>
        <v>2.3744444444444444</v>
      </c>
      <c r="BV26" s="123">
        <v>22.9</v>
      </c>
      <c r="BW26" s="123">
        <f>(BW$34-BW$25)/9+BW25</f>
        <v>5.376666666666666</v>
      </c>
      <c r="BX26" s="123">
        <f t="shared" ref="BX26:CM33" si="148">(BX$34-BX$25)/9+BX25</f>
        <v>23.1</v>
      </c>
      <c r="BY26" s="123">
        <f t="shared" si="148"/>
        <v>4.2766666666666664</v>
      </c>
      <c r="BZ26" s="123">
        <f t="shared" si="148"/>
        <v>23.3</v>
      </c>
      <c r="CA26" s="123">
        <f t="shared" si="148"/>
        <v>3.5066666666666668</v>
      </c>
      <c r="CB26" s="123">
        <f t="shared" si="148"/>
        <v>28.9</v>
      </c>
      <c r="CC26" s="123">
        <f t="shared" si="148"/>
        <v>5.4066666666666663</v>
      </c>
      <c r="CD26" s="123">
        <f t="shared" si="148"/>
        <v>29.1</v>
      </c>
      <c r="CE26" s="123">
        <f t="shared" si="148"/>
        <v>4.2866666666666662</v>
      </c>
      <c r="CF26" s="123">
        <f t="shared" si="148"/>
        <v>29.3</v>
      </c>
      <c r="CG26" s="123">
        <f t="shared" si="148"/>
        <v>3.436666666666667</v>
      </c>
      <c r="CH26" s="123">
        <f t="shared" si="148"/>
        <v>38.700000000000003</v>
      </c>
      <c r="CI26" s="123">
        <f t="shared" si="148"/>
        <v>4.9566666666666661</v>
      </c>
      <c r="CJ26" s="123">
        <f t="shared" si="148"/>
        <v>38.5</v>
      </c>
      <c r="CK26" s="123">
        <f t="shared" si="148"/>
        <v>4.2766666666666664</v>
      </c>
      <c r="CL26" s="123">
        <f t="shared" si="148"/>
        <v>38.799999999999997</v>
      </c>
      <c r="CM26" s="123">
        <f t="shared" si="148"/>
        <v>3.4266666666666667</v>
      </c>
      <c r="CN26" s="123">
        <f t="shared" ref="CN26:CN33" si="149">(CN$34-CN$25)/9+CN25</f>
        <v>47.5</v>
      </c>
      <c r="CO26" s="123">
        <f t="shared" ref="CO26:CO33" si="150">(CO$34-CO$25)/9+CO25</f>
        <v>5.2666666666666666</v>
      </c>
      <c r="CP26" s="123">
        <f t="shared" ref="CP26:CP33" si="151">(CP$34-CP$25)/9+CP25</f>
        <v>47</v>
      </c>
      <c r="CQ26" s="123">
        <f t="shared" ref="CQ26:CQ33" si="152">(CQ$34-CQ$25)/9+CQ25</f>
        <v>4.2566666666666668</v>
      </c>
      <c r="CR26" s="123">
        <f t="shared" ref="CR26:CR33" si="153">(CR$34-CR$25)/9+CR25</f>
        <v>47.7</v>
      </c>
      <c r="CS26" s="123">
        <f t="shared" ref="CS26:CS33" si="154">(CS$34-CS$25)/9+CS25</f>
        <v>3.5266666666666668</v>
      </c>
      <c r="CT26" s="123">
        <f t="shared" ref="CT26:CT33" si="155">(CT$34-CT$25)/9+CT25</f>
        <v>54.9</v>
      </c>
      <c r="CU26" s="123">
        <f t="shared" ref="CU26:CU33" si="156">(CU$34-CU$25)/9+CU25</f>
        <v>5.2666666666666666</v>
      </c>
      <c r="CV26" s="123">
        <f t="shared" ref="CV26:CV33" si="157">(CV$34-CV$25)/9+CV25</f>
        <v>56.2</v>
      </c>
      <c r="CW26" s="123">
        <f t="shared" ref="CW26:CW33" si="158">(CW$34-CW$25)/9+CW25</f>
        <v>4.2566666666666668</v>
      </c>
      <c r="CX26" s="123">
        <f t="shared" ref="CX26:CX33" si="159">(CX$34-CX$25)/9+CX25</f>
        <v>57.2</v>
      </c>
      <c r="CY26" s="123">
        <f t="shared" ref="CY26:CY33" si="160">(CY$34-CY$25)/9+CY25</f>
        <v>3.5266666666666668</v>
      </c>
      <c r="CZ26" s="123">
        <f t="shared" ref="CZ26:CZ33" si="161">(CZ$34-CZ$25)/9+CZ25</f>
        <v>64</v>
      </c>
      <c r="DA26" s="123">
        <f t="shared" ref="DA26:DA33" si="162">(DA$34-DA$25)/9+DA25</f>
        <v>5.3166666666666664</v>
      </c>
      <c r="DB26" s="123">
        <f t="shared" ref="DB26:DB33" si="163">(DB$34-DB$25)/9+DB25</f>
        <v>64.7</v>
      </c>
      <c r="DC26" s="123">
        <f t="shared" ref="DC26:DC33" si="164">(DC$34-DC$25)/9+DC25</f>
        <v>4.2366666666666664</v>
      </c>
      <c r="DD26" s="123">
        <f t="shared" ref="DD26:DD33" si="165">(DD$34-DD$25)/9+DD25</f>
        <v>64</v>
      </c>
      <c r="DE26" s="123">
        <f t="shared" ref="DE26:DE33" si="166">(DE$34-DE$25)/9+DE25</f>
        <v>3.3266666666666667</v>
      </c>
      <c r="DF26" s="123">
        <f t="shared" ref="DF26:DF33" si="167">(DF$34-DF$25)/9+DF25</f>
        <v>72.8</v>
      </c>
      <c r="DG26" s="123">
        <f t="shared" ref="DG26:DG33" si="168">(DG$34-DG$25)/9+DG25</f>
        <v>5.0766666666666662</v>
      </c>
      <c r="DH26" s="123">
        <f t="shared" ref="DH26:DH33" si="169">(DH$34-DH$25)/9+DH25</f>
        <v>74.099999999999994</v>
      </c>
      <c r="DI26" s="123">
        <f t="shared" ref="DI26:DI33" si="170">(DI$34-DI$25)/9+DI25</f>
        <v>4.1166666666666663</v>
      </c>
      <c r="DJ26" s="123">
        <f t="shared" ref="DJ26:DJ33" si="171">(DJ$34-DJ$25)/9+DJ25</f>
        <v>73.900000000000006</v>
      </c>
      <c r="DK26" s="123">
        <f t="shared" ref="DK26:DK33" si="172">(DK$34-DK$25)/9+DK25</f>
        <v>3.4066666666666667</v>
      </c>
      <c r="DL26" s="123">
        <f t="shared" ref="DL26:DL33" si="173">(DL$34-DL$25)/9+DL25</f>
        <v>78.3</v>
      </c>
      <c r="DM26" s="123">
        <f t="shared" ref="DM26:DM33" si="174">(DM$34-DM$25)/9+DM25</f>
        <v>5.126666666666666</v>
      </c>
      <c r="DN26" s="123">
        <f t="shared" ref="DN26:DN33" si="175">(DN$34-DN$25)/9+DN25</f>
        <v>80.3</v>
      </c>
      <c r="DO26" s="123">
        <f t="shared" ref="DO26:DO33" si="176">(DO$34-DO$25)/9+DO25</f>
        <v>4.2266666666666666</v>
      </c>
      <c r="DP26" s="123">
        <f t="shared" ref="DP26:DP33" si="177">(DP$34-DP$25)/9+DP25</f>
        <v>81.099999999999994</v>
      </c>
      <c r="DQ26" s="123">
        <f t="shared" ref="DQ26:DQ33" si="178">(DQ$34-DQ$25)/9+DQ25</f>
        <v>3.5566666666666671</v>
      </c>
      <c r="DR26" s="124">
        <f t="shared" ref="DR26:DR33" si="179">(DR$34-DR$25)/9+DR25</f>
        <v>44.6</v>
      </c>
      <c r="DS26" s="124">
        <f t="shared" ref="DS26:DS33" si="180">(DS$34-DS$25)/9+DS25</f>
        <v>4.5666666666666664</v>
      </c>
      <c r="DT26" s="124">
        <f t="shared" ref="DT26:DT33" si="181">(DT$34-DT$25)/9+DT25</f>
        <v>42.8</v>
      </c>
      <c r="DU26" s="124">
        <f t="shared" ref="DU26:DU33" si="182">(DU$34-DU$25)/9+DU25</f>
        <v>3.5666666666666669</v>
      </c>
      <c r="DV26" s="124">
        <f t="shared" ref="DV26:DV33" si="183">(DV$34-DV$25)/9+DV25</f>
        <v>41</v>
      </c>
      <c r="DW26" s="124">
        <f t="shared" ref="DW26:DW33" si="184">(DW$34-DW$25)/9+DW25</f>
        <v>2.9666666666666668</v>
      </c>
      <c r="DX26" s="124">
        <f t="shared" ref="DX26:DX33" si="185">(DX$34-DX$25)/9+DX25</f>
        <v>59.6</v>
      </c>
      <c r="DY26" s="124">
        <f t="shared" ref="DY26:DY33" si="186">(DY$34-DY$25)/9+DY25</f>
        <v>4.8666666666666663</v>
      </c>
      <c r="DZ26" s="124">
        <f t="shared" ref="DZ26:DZ33" si="187">(DZ$34-DZ$25)/9+DZ25</f>
        <v>56.8</v>
      </c>
      <c r="EA26" s="124">
        <f t="shared" ref="EA26:EA33" si="188">(EA$34-EA$25)/9+EA25</f>
        <v>3.8666666666666667</v>
      </c>
      <c r="EB26" s="124">
        <f t="shared" ref="EB26:EB33" si="189">(EB$34-EB$25)/9+EB25</f>
        <v>54</v>
      </c>
      <c r="EC26" s="124">
        <f t="shared" ref="EC26:EC33" si="190">(EC$34-EC$25)/9+EC25</f>
        <v>2.9666666666666668</v>
      </c>
      <c r="ED26" s="124">
        <f t="shared" ref="ED26:ED33" si="191">(ED$34-ED$25)/9+ED25</f>
        <v>86.7</v>
      </c>
      <c r="EE26" s="124">
        <f t="shared" ref="EE26:EE33" si="192">(EE$34-EE$25)/9+EE25</f>
        <v>4.8666666666666663</v>
      </c>
      <c r="EF26" s="124">
        <f t="shared" ref="EF26:EF33" si="193">(EF$34-EF$25)/9+EF25</f>
        <v>83.35</v>
      </c>
      <c r="EG26" s="124">
        <f t="shared" ref="EG26:EG33" si="194">(EG$34-EG$25)/9+EG25</f>
        <v>3.7666666666666671</v>
      </c>
      <c r="EH26" s="124">
        <f t="shared" ref="EH26:EH33" si="195">(EH$34-EH$25)/9+EH25</f>
        <v>80</v>
      </c>
      <c r="EI26" s="124">
        <f t="shared" ref="EI26:EI33" si="196">(EI$34-EI$25)/9+EI25</f>
        <v>2.9666666666666668</v>
      </c>
      <c r="EJ26" s="102">
        <f t="shared" si="143"/>
        <v>6.1176470588235281</v>
      </c>
      <c r="EK26" s="102">
        <f t="shared" si="139"/>
        <v>4.6470588235294112</v>
      </c>
      <c r="EL26" s="102">
        <f t="shared" si="139"/>
        <v>5.8176470588235283</v>
      </c>
      <c r="EM26" s="102">
        <f t="shared" si="139"/>
        <v>3.5764705882352934</v>
      </c>
      <c r="EN26" s="102">
        <f t="shared" si="139"/>
        <v>5.5470588235294107</v>
      </c>
      <c r="EO26" s="102">
        <f t="shared" si="139"/>
        <v>2.841176470588235</v>
      </c>
      <c r="EP26" s="102">
        <f t="shared" si="144"/>
        <v>8.1727272727272737</v>
      </c>
      <c r="EQ26" s="102">
        <f t="shared" si="140"/>
        <v>5.0272727272727282</v>
      </c>
      <c r="ER26" s="102">
        <f t="shared" si="140"/>
        <v>7.8727272727272739</v>
      </c>
      <c r="ES26" s="102">
        <f t="shared" si="140"/>
        <v>3.8454545454545461</v>
      </c>
      <c r="ET26" s="102">
        <f t="shared" si="140"/>
        <v>7.4454545454545453</v>
      </c>
      <c r="EU26" s="102">
        <f t="shared" si="140"/>
        <v>2.9636363636363638</v>
      </c>
      <c r="EV26" s="102">
        <f t="shared" si="140"/>
        <v>11.272727272727268</v>
      </c>
      <c r="EW26" s="102">
        <f t="shared" si="140"/>
        <v>5.1818181818181808</v>
      </c>
      <c r="EX26" s="102">
        <f t="shared" si="140"/>
        <v>10.790909090909096</v>
      </c>
      <c r="EY26" s="102">
        <f t="shared" si="140"/>
        <v>4.0181818181818167</v>
      </c>
      <c r="EZ26" s="102">
        <f t="shared" si="140"/>
        <v>10.109090909090906</v>
      </c>
      <c r="FA26" s="102">
        <f t="shared" si="140"/>
        <v>2.9909090909090903</v>
      </c>
      <c r="FB26" s="102">
        <f t="shared" si="140"/>
        <v>14.336363636363632</v>
      </c>
      <c r="FC26" s="102">
        <f t="shared" si="140"/>
        <v>5.1818181818181808</v>
      </c>
      <c r="FD26" s="102">
        <f t="shared" si="140"/>
        <v>13.75454545454545</v>
      </c>
      <c r="FE26" s="102">
        <f t="shared" si="140"/>
        <v>4.0454545454545459</v>
      </c>
      <c r="FF26" s="102">
        <f t="shared" si="140"/>
        <v>13.054545454545449</v>
      </c>
      <c r="FG26" s="102">
        <f t="shared" si="140"/>
        <v>3.1181818181818173</v>
      </c>
      <c r="FH26" s="102">
        <f t="shared" si="140"/>
        <v>18.22727272727272</v>
      </c>
      <c r="FI26" s="102">
        <f t="shared" si="140"/>
        <v>4.9727272727272753</v>
      </c>
      <c r="FJ26" s="102">
        <f t="shared" si="140"/>
        <v>17.299999999999997</v>
      </c>
      <c r="FK26" s="102">
        <f t="shared" si="140"/>
        <v>3.8181818181818175</v>
      </c>
      <c r="FL26" s="102">
        <f t="shared" si="140"/>
        <v>16.318181818181817</v>
      </c>
      <c r="FM26" s="102">
        <f t="shared" si="140"/>
        <v>2.9636363636363638</v>
      </c>
    </row>
    <row r="27" spans="1:169" s="89" customFormat="1" x14ac:dyDescent="0.25">
      <c r="A27" s="89">
        <v>-5</v>
      </c>
      <c r="B27" s="120">
        <v>4.7474999999999996</v>
      </c>
      <c r="C27" s="120">
        <v>2.9050000000000002</v>
      </c>
      <c r="D27" s="120">
        <v>6.4950000000000001</v>
      </c>
      <c r="E27" s="120">
        <v>2.915</v>
      </c>
      <c r="F27" s="120">
        <v>8.9285714285714288</v>
      </c>
      <c r="G27" s="120">
        <v>2.9957142857142856</v>
      </c>
      <c r="H27" s="120">
        <v>11.16</v>
      </c>
      <c r="I27" s="120">
        <v>2.7700000000000005</v>
      </c>
      <c r="J27" s="120">
        <v>13.612500000000001</v>
      </c>
      <c r="K27" s="120">
        <v>2.78</v>
      </c>
      <c r="L27" s="120">
        <v>4.6524999999999999</v>
      </c>
      <c r="M27" s="120">
        <v>2.5024999999999999</v>
      </c>
      <c r="N27" s="120">
        <v>6.2125000000000004</v>
      </c>
      <c r="O27" s="120">
        <v>2.6675</v>
      </c>
      <c r="P27" s="120">
        <v>8.8228571428571421</v>
      </c>
      <c r="Q27" s="120">
        <v>2.5242857142857145</v>
      </c>
      <c r="R27" s="120">
        <v>11.065</v>
      </c>
      <c r="S27" s="120">
        <v>2.3975</v>
      </c>
      <c r="T27" s="120">
        <v>12.602500000000001</v>
      </c>
      <c r="U27" s="120">
        <v>2.3975</v>
      </c>
      <c r="V27" s="120">
        <v>4.3999999999999995</v>
      </c>
      <c r="W27" s="120">
        <v>1.9649999999999999</v>
      </c>
      <c r="X27" s="120">
        <v>5.5075000000000003</v>
      </c>
      <c r="Y27" s="120">
        <v>2.0774999999999997</v>
      </c>
      <c r="Z27" s="120">
        <v>7.3457142857142861</v>
      </c>
      <c r="AA27" s="120">
        <v>2.1242857142857141</v>
      </c>
      <c r="AB27" s="120">
        <v>10.36</v>
      </c>
      <c r="AC27" s="120">
        <v>1.9225000000000001</v>
      </c>
      <c r="AD27" s="120">
        <v>11.244999999999999</v>
      </c>
      <c r="AE27" s="120">
        <v>1.9125000000000001</v>
      </c>
      <c r="AF27" s="125">
        <f t="shared" ref="AF27:AF33" si="197">(AF$34-AF$25)/9+AF26</f>
        <v>35.038314176245208</v>
      </c>
      <c r="AG27" s="125">
        <f t="shared" si="146"/>
        <v>3.3333333333333339</v>
      </c>
      <c r="AH27" s="125">
        <f t="shared" si="146"/>
        <v>40.644444444444446</v>
      </c>
      <c r="AI27" s="125">
        <f t="shared" si="146"/>
        <v>3.4233333333333338</v>
      </c>
      <c r="AJ27" s="125">
        <f t="shared" si="146"/>
        <v>52.55747126436782</v>
      </c>
      <c r="AK27" s="125">
        <f t="shared" si="146"/>
        <v>3.3033333333333341</v>
      </c>
      <c r="AL27" s="125">
        <f t="shared" si="146"/>
        <v>31.59003831417624</v>
      </c>
      <c r="AM27" s="125">
        <f t="shared" si="146"/>
        <v>2.7255555555555557</v>
      </c>
      <c r="AN27" s="125">
        <f t="shared" si="146"/>
        <v>36.644444444444439</v>
      </c>
      <c r="AO27" s="125">
        <f t="shared" si="146"/>
        <v>2.8155555555555556</v>
      </c>
      <c r="AP27" s="125">
        <f t="shared" si="146"/>
        <v>47.385057471264361</v>
      </c>
      <c r="AQ27" s="125">
        <f t="shared" si="146"/>
        <v>2.6955555555555559</v>
      </c>
      <c r="AR27" s="125">
        <f t="shared" si="146"/>
        <v>27.806513409961681</v>
      </c>
      <c r="AS27" s="125">
        <f t="shared" si="146"/>
        <v>2.1911111111111108</v>
      </c>
      <c r="AT27" s="125">
        <f t="shared" si="146"/>
        <v>32.255555555555553</v>
      </c>
      <c r="AU27" s="125">
        <f t="shared" si="146"/>
        <v>2.2811111111111106</v>
      </c>
      <c r="AV27" s="125">
        <f t="shared" si="146"/>
        <v>41.709770114942529</v>
      </c>
      <c r="AW27" s="125">
        <f t="shared" si="146"/>
        <v>2.161111111111111</v>
      </c>
      <c r="AX27" s="122">
        <f t="shared" ref="AX27:AX33" si="198">(AX$34-AX$25)/9+AX26</f>
        <v>4.6455555555555552</v>
      </c>
      <c r="AY27" s="122">
        <f t="shared" si="147"/>
        <v>3.1533333333333333</v>
      </c>
      <c r="AZ27" s="122">
        <f t="shared" si="147"/>
        <v>6.1566666666666672</v>
      </c>
      <c r="BA27" s="122">
        <f t="shared" si="147"/>
        <v>3.2366666666666664</v>
      </c>
      <c r="BB27" s="122">
        <f t="shared" si="147"/>
        <v>7.181111111111111</v>
      </c>
      <c r="BC27" s="122">
        <f t="shared" si="147"/>
        <v>2.7888888888888888</v>
      </c>
      <c r="BD27" s="122">
        <f t="shared" si="147"/>
        <v>13.441111111111113</v>
      </c>
      <c r="BE27" s="122">
        <f t="shared" si="147"/>
        <v>3.451111111111111</v>
      </c>
      <c r="BF27" s="122">
        <f t="shared" si="147"/>
        <v>4.5022222222222217</v>
      </c>
      <c r="BG27" s="122">
        <f t="shared" si="147"/>
        <v>2.7088888888888891</v>
      </c>
      <c r="BH27" s="122">
        <f t="shared" si="147"/>
        <v>6.1211111111111114</v>
      </c>
      <c r="BI27" s="122">
        <f t="shared" si="147"/>
        <v>2.7411111111111106</v>
      </c>
      <c r="BJ27" s="122">
        <f t="shared" si="147"/>
        <v>7.1255555555555556</v>
      </c>
      <c r="BK27" s="122">
        <f t="shared" si="147"/>
        <v>2.362222222222222</v>
      </c>
      <c r="BL27" s="122">
        <f t="shared" si="147"/>
        <v>13.143333333333333</v>
      </c>
      <c r="BM27" s="122">
        <f t="shared" si="147"/>
        <v>2.8644444444444446</v>
      </c>
      <c r="BN27" s="122">
        <f t="shared" si="147"/>
        <v>4.3411111111111111</v>
      </c>
      <c r="BO27" s="122">
        <f t="shared" si="147"/>
        <v>2.315555555555556</v>
      </c>
      <c r="BP27" s="122">
        <f t="shared" si="147"/>
        <v>5.9077777777777776</v>
      </c>
      <c r="BQ27" s="122">
        <f t="shared" si="147"/>
        <v>2.3288888888888888</v>
      </c>
      <c r="BR27" s="122">
        <f t="shared" si="147"/>
        <v>7.15</v>
      </c>
      <c r="BS27" s="122">
        <f t="shared" si="147"/>
        <v>2.0811111111111109</v>
      </c>
      <c r="BT27" s="122">
        <f t="shared" si="147"/>
        <v>12.665555555555555</v>
      </c>
      <c r="BU27" s="122">
        <f t="shared" si="147"/>
        <v>2.4188888888888886</v>
      </c>
      <c r="BV27" s="123">
        <v>22.9</v>
      </c>
      <c r="BW27" s="123">
        <f t="shared" ref="BW27:BW33" si="199">(BW$34-BW$25)/9+BW26</f>
        <v>5.3833333333333329</v>
      </c>
      <c r="BX27" s="123">
        <f t="shared" si="148"/>
        <v>23.1</v>
      </c>
      <c r="BY27" s="123">
        <f t="shared" si="148"/>
        <v>4.2833333333333332</v>
      </c>
      <c r="BZ27" s="123">
        <f t="shared" si="148"/>
        <v>23.3</v>
      </c>
      <c r="CA27" s="123">
        <f t="shared" si="148"/>
        <v>3.5133333333333336</v>
      </c>
      <c r="CB27" s="123">
        <f t="shared" si="148"/>
        <v>28.9</v>
      </c>
      <c r="CC27" s="123">
        <f t="shared" si="148"/>
        <v>5.4133333333333331</v>
      </c>
      <c r="CD27" s="123">
        <f t="shared" si="148"/>
        <v>29.1</v>
      </c>
      <c r="CE27" s="123">
        <f t="shared" si="148"/>
        <v>4.293333333333333</v>
      </c>
      <c r="CF27" s="123">
        <f t="shared" si="148"/>
        <v>29.3</v>
      </c>
      <c r="CG27" s="123">
        <f t="shared" si="148"/>
        <v>3.4433333333333338</v>
      </c>
      <c r="CH27" s="123">
        <f t="shared" si="148"/>
        <v>38.700000000000003</v>
      </c>
      <c r="CI27" s="123">
        <f t="shared" si="148"/>
        <v>4.9633333333333329</v>
      </c>
      <c r="CJ27" s="123">
        <f t="shared" si="148"/>
        <v>38.5</v>
      </c>
      <c r="CK27" s="123">
        <f t="shared" si="148"/>
        <v>4.2833333333333332</v>
      </c>
      <c r="CL27" s="123">
        <f t="shared" si="148"/>
        <v>38.799999999999997</v>
      </c>
      <c r="CM27" s="123">
        <f t="shared" si="148"/>
        <v>3.4333333333333336</v>
      </c>
      <c r="CN27" s="123">
        <f t="shared" si="149"/>
        <v>47.5</v>
      </c>
      <c r="CO27" s="123">
        <f t="shared" si="150"/>
        <v>5.2733333333333334</v>
      </c>
      <c r="CP27" s="123">
        <f t="shared" si="151"/>
        <v>47</v>
      </c>
      <c r="CQ27" s="123">
        <f t="shared" si="152"/>
        <v>4.2633333333333336</v>
      </c>
      <c r="CR27" s="123">
        <f t="shared" si="153"/>
        <v>47.7</v>
      </c>
      <c r="CS27" s="123">
        <f t="shared" si="154"/>
        <v>3.5333333333333337</v>
      </c>
      <c r="CT27" s="123">
        <f t="shared" si="155"/>
        <v>54.9</v>
      </c>
      <c r="CU27" s="123">
        <f t="shared" si="156"/>
        <v>5.2733333333333334</v>
      </c>
      <c r="CV27" s="123">
        <f t="shared" si="157"/>
        <v>56.2</v>
      </c>
      <c r="CW27" s="123">
        <f t="shared" si="158"/>
        <v>4.2633333333333336</v>
      </c>
      <c r="CX27" s="123">
        <f t="shared" si="159"/>
        <v>57.2</v>
      </c>
      <c r="CY27" s="123">
        <f t="shared" si="160"/>
        <v>3.5333333333333337</v>
      </c>
      <c r="CZ27" s="123">
        <f t="shared" si="161"/>
        <v>64</v>
      </c>
      <c r="DA27" s="123">
        <f t="shared" si="162"/>
        <v>5.3233333333333333</v>
      </c>
      <c r="DB27" s="123">
        <f t="shared" si="163"/>
        <v>64.7</v>
      </c>
      <c r="DC27" s="123">
        <f t="shared" si="164"/>
        <v>4.2433333333333332</v>
      </c>
      <c r="DD27" s="123">
        <f t="shared" si="165"/>
        <v>64</v>
      </c>
      <c r="DE27" s="123">
        <f t="shared" si="166"/>
        <v>3.3333333333333335</v>
      </c>
      <c r="DF27" s="123">
        <f t="shared" si="167"/>
        <v>72.8</v>
      </c>
      <c r="DG27" s="123">
        <f t="shared" si="168"/>
        <v>5.083333333333333</v>
      </c>
      <c r="DH27" s="123">
        <f t="shared" si="169"/>
        <v>74.099999999999994</v>
      </c>
      <c r="DI27" s="123">
        <f t="shared" si="170"/>
        <v>4.1233333333333331</v>
      </c>
      <c r="DJ27" s="123">
        <f t="shared" si="171"/>
        <v>73.900000000000006</v>
      </c>
      <c r="DK27" s="123">
        <f t="shared" si="172"/>
        <v>3.4133333333333336</v>
      </c>
      <c r="DL27" s="123">
        <f t="shared" si="173"/>
        <v>78.3</v>
      </c>
      <c r="DM27" s="123">
        <f t="shared" si="174"/>
        <v>5.1333333333333329</v>
      </c>
      <c r="DN27" s="123">
        <f t="shared" si="175"/>
        <v>80.3</v>
      </c>
      <c r="DO27" s="123">
        <f t="shared" si="176"/>
        <v>4.2333333333333334</v>
      </c>
      <c r="DP27" s="123">
        <f t="shared" si="177"/>
        <v>81.099999999999994</v>
      </c>
      <c r="DQ27" s="123">
        <f t="shared" si="178"/>
        <v>3.5633333333333339</v>
      </c>
      <c r="DR27" s="124">
        <f t="shared" si="179"/>
        <v>44.6</v>
      </c>
      <c r="DS27" s="124">
        <f t="shared" si="180"/>
        <v>4.5733333333333333</v>
      </c>
      <c r="DT27" s="124">
        <f t="shared" si="181"/>
        <v>42.8</v>
      </c>
      <c r="DU27" s="124">
        <f t="shared" si="182"/>
        <v>3.5733333333333337</v>
      </c>
      <c r="DV27" s="124">
        <f t="shared" si="183"/>
        <v>41</v>
      </c>
      <c r="DW27" s="124">
        <f t="shared" si="184"/>
        <v>2.9733333333333336</v>
      </c>
      <c r="DX27" s="124">
        <f t="shared" si="185"/>
        <v>59.6</v>
      </c>
      <c r="DY27" s="124">
        <f t="shared" si="186"/>
        <v>4.8733333333333331</v>
      </c>
      <c r="DZ27" s="124">
        <f t="shared" si="187"/>
        <v>56.8</v>
      </c>
      <c r="EA27" s="124">
        <f t="shared" si="188"/>
        <v>3.8733333333333335</v>
      </c>
      <c r="EB27" s="124">
        <f t="shared" si="189"/>
        <v>54</v>
      </c>
      <c r="EC27" s="124">
        <f t="shared" si="190"/>
        <v>2.9733333333333336</v>
      </c>
      <c r="ED27" s="124">
        <f t="shared" si="191"/>
        <v>86.7</v>
      </c>
      <c r="EE27" s="124">
        <f t="shared" si="192"/>
        <v>4.8733333333333331</v>
      </c>
      <c r="EF27" s="124">
        <f t="shared" si="193"/>
        <v>83.35</v>
      </c>
      <c r="EG27" s="124">
        <f t="shared" si="194"/>
        <v>3.7733333333333339</v>
      </c>
      <c r="EH27" s="124">
        <f t="shared" si="195"/>
        <v>80</v>
      </c>
      <c r="EI27" s="124">
        <f t="shared" si="196"/>
        <v>2.9733333333333336</v>
      </c>
      <c r="EJ27" s="102">
        <f t="shared" si="143"/>
        <v>6.1705882352941162</v>
      </c>
      <c r="EK27" s="102">
        <f t="shared" si="139"/>
        <v>4.6882352941176464</v>
      </c>
      <c r="EL27" s="102">
        <f t="shared" si="139"/>
        <v>5.8705882352941163</v>
      </c>
      <c r="EM27" s="102">
        <f t="shared" si="139"/>
        <v>3.6058823529411757</v>
      </c>
      <c r="EN27" s="102">
        <f t="shared" si="139"/>
        <v>5.5882352941176459</v>
      </c>
      <c r="EO27" s="102">
        <f t="shared" si="139"/>
        <v>2.8647058823529408</v>
      </c>
      <c r="EP27" s="102">
        <f t="shared" si="144"/>
        <v>8.2681818181818194</v>
      </c>
      <c r="EQ27" s="102">
        <f t="shared" si="140"/>
        <v>5.0818181818181829</v>
      </c>
      <c r="ER27" s="102">
        <f t="shared" si="140"/>
        <v>7.9681818181818196</v>
      </c>
      <c r="ES27" s="102">
        <f t="shared" si="140"/>
        <v>3.8863636363636371</v>
      </c>
      <c r="ET27" s="102">
        <f t="shared" si="140"/>
        <v>7.5363636363636362</v>
      </c>
      <c r="EU27" s="102">
        <f t="shared" si="140"/>
        <v>2.9909090909090912</v>
      </c>
      <c r="EV27" s="102">
        <f t="shared" si="140"/>
        <v>11.418181818181813</v>
      </c>
      <c r="EW27" s="102">
        <f t="shared" si="140"/>
        <v>5.2454545454545443</v>
      </c>
      <c r="EX27" s="102">
        <f t="shared" si="140"/>
        <v>10.922727272727279</v>
      </c>
      <c r="EY27" s="102">
        <f t="shared" si="140"/>
        <v>4.0545454545454529</v>
      </c>
      <c r="EZ27" s="102">
        <f t="shared" si="140"/>
        <v>10.227272727272723</v>
      </c>
      <c r="FA27" s="102">
        <f t="shared" si="140"/>
        <v>3.022727272727272</v>
      </c>
      <c r="FB27" s="102">
        <f t="shared" si="140"/>
        <v>14.509090909090904</v>
      </c>
      <c r="FC27" s="102">
        <f t="shared" si="140"/>
        <v>5.2454545454545443</v>
      </c>
      <c r="FD27" s="102">
        <f t="shared" si="140"/>
        <v>13.913636363636359</v>
      </c>
      <c r="FE27" s="102">
        <f t="shared" si="140"/>
        <v>4.0863636363636369</v>
      </c>
      <c r="FF27" s="102">
        <f t="shared" si="140"/>
        <v>13.213636363636358</v>
      </c>
      <c r="FG27" s="102">
        <f t="shared" si="140"/>
        <v>3.1545454545454534</v>
      </c>
      <c r="FH27" s="102">
        <f t="shared" si="140"/>
        <v>18.431818181818173</v>
      </c>
      <c r="FI27" s="102">
        <f t="shared" si="140"/>
        <v>5.0181818181818212</v>
      </c>
      <c r="FJ27" s="102">
        <f t="shared" si="140"/>
        <v>17.499999999999996</v>
      </c>
      <c r="FK27" s="102">
        <f t="shared" si="140"/>
        <v>3.8545454545454536</v>
      </c>
      <c r="FL27" s="102">
        <f t="shared" si="140"/>
        <v>16.504545454545454</v>
      </c>
      <c r="FM27" s="102">
        <f t="shared" si="140"/>
        <v>2.9909090909090912</v>
      </c>
    </row>
    <row r="28" spans="1:169" s="89" customFormat="1" x14ac:dyDescent="0.25">
      <c r="A28" s="89">
        <v>-4</v>
      </c>
      <c r="B28" s="120">
        <v>4.86625</v>
      </c>
      <c r="C28" s="120">
        <v>2.9525000000000001</v>
      </c>
      <c r="D28" s="120">
        <v>6.6574999999999998</v>
      </c>
      <c r="E28" s="120">
        <v>2.9624999999999999</v>
      </c>
      <c r="F28" s="120">
        <v>9.1778571428571425</v>
      </c>
      <c r="G28" s="120">
        <v>3.0335714285714284</v>
      </c>
      <c r="H28" s="120">
        <v>11.44</v>
      </c>
      <c r="I28" s="120">
        <v>2.8150000000000004</v>
      </c>
      <c r="J28" s="120">
        <v>13.953749999999999</v>
      </c>
      <c r="K28" s="120">
        <v>2.8249999999999997</v>
      </c>
      <c r="L28" s="120">
        <v>4.7687499999999998</v>
      </c>
      <c r="M28" s="120">
        <v>2.5437500000000002</v>
      </c>
      <c r="N28" s="120">
        <v>6.3687500000000004</v>
      </c>
      <c r="O28" s="120">
        <v>2.7112500000000002</v>
      </c>
      <c r="P28" s="120">
        <v>9.069285714285714</v>
      </c>
      <c r="Q28" s="120">
        <v>2.5564285714285715</v>
      </c>
      <c r="R28" s="120">
        <v>11.342500000000001</v>
      </c>
      <c r="S28" s="120">
        <v>2.4362499999999998</v>
      </c>
      <c r="T28" s="120">
        <v>12.918750000000001</v>
      </c>
      <c r="U28" s="120">
        <v>2.4362499999999998</v>
      </c>
      <c r="V28" s="120">
        <v>4.51</v>
      </c>
      <c r="W28" s="120">
        <v>1.9975000000000001</v>
      </c>
      <c r="X28" s="120">
        <v>5.6462500000000002</v>
      </c>
      <c r="Y28" s="120">
        <v>2.1112499999999996</v>
      </c>
      <c r="Z28" s="120">
        <v>7.5585714285714287</v>
      </c>
      <c r="AA28" s="120">
        <v>2.1514285714285712</v>
      </c>
      <c r="AB28" s="120">
        <v>10.620000000000001</v>
      </c>
      <c r="AC28" s="120">
        <v>1.9537500000000001</v>
      </c>
      <c r="AD28" s="120">
        <v>11.5275</v>
      </c>
      <c r="AE28" s="120">
        <v>1.9437500000000001</v>
      </c>
      <c r="AF28" s="125">
        <f t="shared" si="197"/>
        <v>35.557471264367813</v>
      </c>
      <c r="AG28" s="125">
        <f t="shared" si="146"/>
        <v>3.4200000000000008</v>
      </c>
      <c r="AH28" s="125">
        <f t="shared" si="146"/>
        <v>41.24666666666667</v>
      </c>
      <c r="AI28" s="125">
        <f t="shared" si="146"/>
        <v>3.5100000000000007</v>
      </c>
      <c r="AJ28" s="125">
        <f t="shared" si="146"/>
        <v>53.33620689655173</v>
      </c>
      <c r="AK28" s="125">
        <f t="shared" si="146"/>
        <v>3.390000000000001</v>
      </c>
      <c r="AL28" s="125">
        <f t="shared" si="146"/>
        <v>32.126436781609193</v>
      </c>
      <c r="AM28" s="125">
        <f t="shared" si="146"/>
        <v>2.7933333333333334</v>
      </c>
      <c r="AN28" s="125">
        <f t="shared" si="146"/>
        <v>37.266666666666659</v>
      </c>
      <c r="AO28" s="125">
        <f t="shared" si="146"/>
        <v>2.8833333333333333</v>
      </c>
      <c r="AP28" s="125">
        <f t="shared" si="146"/>
        <v>48.189655172413786</v>
      </c>
      <c r="AQ28" s="125">
        <f t="shared" si="146"/>
        <v>2.7633333333333336</v>
      </c>
      <c r="AR28" s="125">
        <f t="shared" si="146"/>
        <v>28.356321839080454</v>
      </c>
      <c r="AS28" s="125">
        <f t="shared" si="146"/>
        <v>2.2466666666666661</v>
      </c>
      <c r="AT28" s="125">
        <f t="shared" si="146"/>
        <v>32.893333333333331</v>
      </c>
      <c r="AU28" s="125">
        <f t="shared" si="146"/>
        <v>2.336666666666666</v>
      </c>
      <c r="AV28" s="125">
        <f t="shared" si="146"/>
        <v>42.53448275862069</v>
      </c>
      <c r="AW28" s="125">
        <f t="shared" si="146"/>
        <v>2.2166666666666663</v>
      </c>
      <c r="AX28" s="122">
        <f t="shared" si="198"/>
        <v>4.8433333333333328</v>
      </c>
      <c r="AY28" s="122">
        <f t="shared" si="147"/>
        <v>3.27</v>
      </c>
      <c r="AZ28" s="122">
        <f t="shared" si="147"/>
        <v>6.330000000000001</v>
      </c>
      <c r="BA28" s="122">
        <f t="shared" si="147"/>
        <v>3.3099999999999996</v>
      </c>
      <c r="BB28" s="122">
        <f t="shared" si="147"/>
        <v>7.5266666666666664</v>
      </c>
      <c r="BC28" s="122">
        <f t="shared" si="147"/>
        <v>2.8933333333333331</v>
      </c>
      <c r="BD28" s="122">
        <f t="shared" si="147"/>
        <v>13.786666666666669</v>
      </c>
      <c r="BE28" s="122">
        <f t="shared" si="147"/>
        <v>3.5166666666666666</v>
      </c>
      <c r="BF28" s="122">
        <f t="shared" si="147"/>
        <v>4.6933333333333325</v>
      </c>
      <c r="BG28" s="122">
        <f t="shared" si="147"/>
        <v>2.8033333333333337</v>
      </c>
      <c r="BH28" s="122">
        <f t="shared" si="147"/>
        <v>6.2866666666666671</v>
      </c>
      <c r="BI28" s="122">
        <f t="shared" si="147"/>
        <v>2.796666666666666</v>
      </c>
      <c r="BJ28" s="122">
        <f t="shared" si="147"/>
        <v>7.4333333333333336</v>
      </c>
      <c r="BK28" s="122">
        <f t="shared" si="147"/>
        <v>2.4433333333333329</v>
      </c>
      <c r="BL28" s="122">
        <f t="shared" si="147"/>
        <v>13.469999999999999</v>
      </c>
      <c r="BM28" s="122">
        <f t="shared" si="147"/>
        <v>2.916666666666667</v>
      </c>
      <c r="BN28" s="122">
        <f t="shared" si="147"/>
        <v>4.5266666666666664</v>
      </c>
      <c r="BO28" s="122">
        <f t="shared" si="147"/>
        <v>2.393333333333334</v>
      </c>
      <c r="BP28" s="122">
        <f t="shared" si="147"/>
        <v>6.0366666666666662</v>
      </c>
      <c r="BQ28" s="122">
        <f t="shared" si="147"/>
        <v>2.3733333333333331</v>
      </c>
      <c r="BR28" s="122">
        <f t="shared" si="147"/>
        <v>7.5200000000000005</v>
      </c>
      <c r="BS28" s="122">
        <f t="shared" si="147"/>
        <v>2.1766666666666663</v>
      </c>
      <c r="BT28" s="122">
        <f t="shared" si="147"/>
        <v>12.913333333333332</v>
      </c>
      <c r="BU28" s="122">
        <f t="shared" si="147"/>
        <v>2.4633333333333329</v>
      </c>
      <c r="BV28" s="123">
        <v>22.9</v>
      </c>
      <c r="BW28" s="123">
        <f t="shared" si="199"/>
        <v>5.39</v>
      </c>
      <c r="BX28" s="123">
        <f t="shared" si="148"/>
        <v>23.1</v>
      </c>
      <c r="BY28" s="123">
        <f t="shared" si="148"/>
        <v>4.29</v>
      </c>
      <c r="BZ28" s="123">
        <f t="shared" si="148"/>
        <v>23.3</v>
      </c>
      <c r="CA28" s="123">
        <f t="shared" si="148"/>
        <v>3.5200000000000005</v>
      </c>
      <c r="CB28" s="123">
        <f t="shared" si="148"/>
        <v>28.9</v>
      </c>
      <c r="CC28" s="123">
        <f t="shared" si="148"/>
        <v>5.42</v>
      </c>
      <c r="CD28" s="123">
        <f t="shared" si="148"/>
        <v>29.1</v>
      </c>
      <c r="CE28" s="123">
        <f t="shared" si="148"/>
        <v>4.3</v>
      </c>
      <c r="CF28" s="123">
        <f t="shared" si="148"/>
        <v>29.3</v>
      </c>
      <c r="CG28" s="123">
        <f t="shared" si="148"/>
        <v>3.4500000000000006</v>
      </c>
      <c r="CH28" s="123">
        <f t="shared" si="148"/>
        <v>38.700000000000003</v>
      </c>
      <c r="CI28" s="123">
        <f t="shared" si="148"/>
        <v>4.97</v>
      </c>
      <c r="CJ28" s="123">
        <f t="shared" si="148"/>
        <v>38.5</v>
      </c>
      <c r="CK28" s="123">
        <f t="shared" si="148"/>
        <v>4.29</v>
      </c>
      <c r="CL28" s="123">
        <f t="shared" si="148"/>
        <v>38.799999999999997</v>
      </c>
      <c r="CM28" s="123">
        <f t="shared" si="148"/>
        <v>3.4400000000000004</v>
      </c>
      <c r="CN28" s="123">
        <f t="shared" si="149"/>
        <v>47.5</v>
      </c>
      <c r="CO28" s="123">
        <f t="shared" si="150"/>
        <v>5.28</v>
      </c>
      <c r="CP28" s="123">
        <f t="shared" si="151"/>
        <v>47</v>
      </c>
      <c r="CQ28" s="123">
        <f t="shared" si="152"/>
        <v>4.2700000000000005</v>
      </c>
      <c r="CR28" s="123">
        <f t="shared" si="153"/>
        <v>47.7</v>
      </c>
      <c r="CS28" s="123">
        <f t="shared" si="154"/>
        <v>3.5400000000000005</v>
      </c>
      <c r="CT28" s="123">
        <f t="shared" si="155"/>
        <v>54.9</v>
      </c>
      <c r="CU28" s="123">
        <f t="shared" si="156"/>
        <v>5.28</v>
      </c>
      <c r="CV28" s="123">
        <f t="shared" si="157"/>
        <v>56.2</v>
      </c>
      <c r="CW28" s="123">
        <f t="shared" si="158"/>
        <v>4.2700000000000005</v>
      </c>
      <c r="CX28" s="123">
        <f t="shared" si="159"/>
        <v>57.2</v>
      </c>
      <c r="CY28" s="123">
        <f t="shared" si="160"/>
        <v>3.5400000000000005</v>
      </c>
      <c r="CZ28" s="123">
        <f t="shared" si="161"/>
        <v>64</v>
      </c>
      <c r="DA28" s="123">
        <f t="shared" si="162"/>
        <v>5.33</v>
      </c>
      <c r="DB28" s="123">
        <f t="shared" si="163"/>
        <v>64.7</v>
      </c>
      <c r="DC28" s="123">
        <f t="shared" si="164"/>
        <v>4.25</v>
      </c>
      <c r="DD28" s="123">
        <f t="shared" si="165"/>
        <v>64</v>
      </c>
      <c r="DE28" s="123">
        <f t="shared" si="166"/>
        <v>3.3400000000000003</v>
      </c>
      <c r="DF28" s="123">
        <f t="shared" si="167"/>
        <v>72.8</v>
      </c>
      <c r="DG28" s="123">
        <f t="shared" si="168"/>
        <v>5.09</v>
      </c>
      <c r="DH28" s="123">
        <f t="shared" si="169"/>
        <v>74.099999999999994</v>
      </c>
      <c r="DI28" s="123">
        <f t="shared" si="170"/>
        <v>4.13</v>
      </c>
      <c r="DJ28" s="123">
        <f t="shared" si="171"/>
        <v>73.900000000000006</v>
      </c>
      <c r="DK28" s="123">
        <f t="shared" si="172"/>
        <v>3.4200000000000004</v>
      </c>
      <c r="DL28" s="123">
        <f t="shared" si="173"/>
        <v>78.3</v>
      </c>
      <c r="DM28" s="123">
        <f t="shared" si="174"/>
        <v>5.14</v>
      </c>
      <c r="DN28" s="123">
        <f t="shared" si="175"/>
        <v>80.3</v>
      </c>
      <c r="DO28" s="123">
        <f t="shared" si="176"/>
        <v>4.24</v>
      </c>
      <c r="DP28" s="123">
        <f t="shared" si="177"/>
        <v>81.099999999999994</v>
      </c>
      <c r="DQ28" s="123">
        <f t="shared" si="178"/>
        <v>3.5700000000000007</v>
      </c>
      <c r="DR28" s="124">
        <f t="shared" si="179"/>
        <v>44.6</v>
      </c>
      <c r="DS28" s="124">
        <f t="shared" si="180"/>
        <v>4.58</v>
      </c>
      <c r="DT28" s="124">
        <f t="shared" si="181"/>
        <v>42.8</v>
      </c>
      <c r="DU28" s="124">
        <f t="shared" si="182"/>
        <v>3.5800000000000005</v>
      </c>
      <c r="DV28" s="124">
        <f t="shared" si="183"/>
        <v>41</v>
      </c>
      <c r="DW28" s="124">
        <f t="shared" si="184"/>
        <v>2.9800000000000004</v>
      </c>
      <c r="DX28" s="124">
        <f t="shared" si="185"/>
        <v>59.6</v>
      </c>
      <c r="DY28" s="124">
        <f t="shared" si="186"/>
        <v>4.88</v>
      </c>
      <c r="DZ28" s="124">
        <f t="shared" si="187"/>
        <v>56.8</v>
      </c>
      <c r="EA28" s="124">
        <f t="shared" si="188"/>
        <v>3.8800000000000003</v>
      </c>
      <c r="EB28" s="124">
        <f t="shared" si="189"/>
        <v>54</v>
      </c>
      <c r="EC28" s="124">
        <f t="shared" si="190"/>
        <v>2.9800000000000004</v>
      </c>
      <c r="ED28" s="124">
        <f t="shared" si="191"/>
        <v>86.7</v>
      </c>
      <c r="EE28" s="124">
        <f t="shared" si="192"/>
        <v>4.88</v>
      </c>
      <c r="EF28" s="124">
        <f t="shared" si="193"/>
        <v>83.35</v>
      </c>
      <c r="EG28" s="124">
        <f t="shared" si="194"/>
        <v>3.7800000000000007</v>
      </c>
      <c r="EH28" s="124">
        <f t="shared" si="195"/>
        <v>80</v>
      </c>
      <c r="EI28" s="124">
        <f t="shared" si="196"/>
        <v>2.9800000000000004</v>
      </c>
      <c r="EJ28" s="102">
        <f t="shared" si="143"/>
        <v>6.2235294117647042</v>
      </c>
      <c r="EK28" s="102">
        <f t="shared" si="139"/>
        <v>4.7294117647058815</v>
      </c>
      <c r="EL28" s="102">
        <f t="shared" si="139"/>
        <v>5.9235294117647044</v>
      </c>
      <c r="EM28" s="102">
        <f t="shared" si="139"/>
        <v>3.6352941176470579</v>
      </c>
      <c r="EN28" s="102">
        <f t="shared" si="139"/>
        <v>5.629411764705881</v>
      </c>
      <c r="EO28" s="102">
        <f t="shared" si="139"/>
        <v>2.8882352941176466</v>
      </c>
      <c r="EP28" s="102">
        <f t="shared" si="144"/>
        <v>8.3636363636363651</v>
      </c>
      <c r="EQ28" s="102">
        <f t="shared" si="140"/>
        <v>5.1363636363636376</v>
      </c>
      <c r="ER28" s="102">
        <f t="shared" si="140"/>
        <v>8.0636363636363644</v>
      </c>
      <c r="ES28" s="102">
        <f t="shared" si="140"/>
        <v>3.9272727272727281</v>
      </c>
      <c r="ET28" s="102">
        <f t="shared" si="140"/>
        <v>7.627272727272727</v>
      </c>
      <c r="EU28" s="102">
        <f t="shared" si="140"/>
        <v>3.0181818181818185</v>
      </c>
      <c r="EV28" s="102">
        <f t="shared" si="140"/>
        <v>11.563636363636357</v>
      </c>
      <c r="EW28" s="102">
        <f t="shared" si="140"/>
        <v>5.3090909090909078</v>
      </c>
      <c r="EX28" s="102">
        <f t="shared" si="140"/>
        <v>11.054545454545462</v>
      </c>
      <c r="EY28" s="102">
        <f t="shared" si="140"/>
        <v>4.0909090909090891</v>
      </c>
      <c r="EZ28" s="102">
        <f t="shared" si="140"/>
        <v>10.34545454545454</v>
      </c>
      <c r="FA28" s="102">
        <f t="shared" si="140"/>
        <v>3.0545454545454538</v>
      </c>
      <c r="FB28" s="102">
        <f t="shared" si="140"/>
        <v>14.681818181818176</v>
      </c>
      <c r="FC28" s="102">
        <f t="shared" si="140"/>
        <v>5.3090909090909078</v>
      </c>
      <c r="FD28" s="102">
        <f t="shared" si="140"/>
        <v>14.072727272727267</v>
      </c>
      <c r="FE28" s="102">
        <f t="shared" si="140"/>
        <v>4.1272727272727279</v>
      </c>
      <c r="FF28" s="102">
        <f t="shared" si="140"/>
        <v>13.372727272727266</v>
      </c>
      <c r="FG28" s="102">
        <f t="shared" si="140"/>
        <v>3.1909090909090896</v>
      </c>
      <c r="FH28" s="102">
        <f t="shared" si="140"/>
        <v>18.636363636363626</v>
      </c>
      <c r="FI28" s="102">
        <f t="shared" si="140"/>
        <v>5.063636363636367</v>
      </c>
      <c r="FJ28" s="102">
        <f t="shared" si="140"/>
        <v>17.699999999999996</v>
      </c>
      <c r="FK28" s="102">
        <f t="shared" si="140"/>
        <v>3.8909090909090898</v>
      </c>
      <c r="FL28" s="102">
        <f t="shared" si="140"/>
        <v>16.690909090909091</v>
      </c>
      <c r="FM28" s="102">
        <f t="shared" si="140"/>
        <v>3.0181818181818185</v>
      </c>
    </row>
    <row r="29" spans="1:169" s="89" customFormat="1" x14ac:dyDescent="0.25">
      <c r="A29" s="89">
        <v>-3</v>
      </c>
      <c r="B29" s="120">
        <v>4.9849999999999994</v>
      </c>
      <c r="C29" s="120">
        <v>3</v>
      </c>
      <c r="D29" s="120">
        <v>6.82</v>
      </c>
      <c r="E29" s="120">
        <v>3.01</v>
      </c>
      <c r="F29" s="120">
        <v>9.4271428571428562</v>
      </c>
      <c r="G29" s="120">
        <v>3.0714285714285716</v>
      </c>
      <c r="H29" s="120">
        <v>11.719999999999999</v>
      </c>
      <c r="I29" s="120">
        <v>2.8600000000000003</v>
      </c>
      <c r="J29" s="120">
        <v>14.295</v>
      </c>
      <c r="K29" s="120">
        <v>2.87</v>
      </c>
      <c r="L29" s="120">
        <v>4.8849999999999998</v>
      </c>
      <c r="M29" s="120">
        <v>2.585</v>
      </c>
      <c r="N29" s="120">
        <v>6.5250000000000004</v>
      </c>
      <c r="O29" s="120">
        <v>2.7549999999999999</v>
      </c>
      <c r="P29" s="120">
        <v>9.3157142857142858</v>
      </c>
      <c r="Q29" s="120">
        <v>2.5885714285714285</v>
      </c>
      <c r="R29" s="120">
        <v>11.620000000000001</v>
      </c>
      <c r="S29" s="120">
        <v>2.4749999999999996</v>
      </c>
      <c r="T29" s="120">
        <v>13.235000000000001</v>
      </c>
      <c r="U29" s="120">
        <v>2.4749999999999996</v>
      </c>
      <c r="V29" s="120">
        <v>4.6199999999999992</v>
      </c>
      <c r="W29" s="120">
        <v>2.0299999999999998</v>
      </c>
      <c r="X29" s="120">
        <v>5.7850000000000001</v>
      </c>
      <c r="Y29" s="120">
        <v>2.1449999999999996</v>
      </c>
      <c r="Z29" s="120">
        <v>7.7714285714285714</v>
      </c>
      <c r="AA29" s="120">
        <v>2.1785714285714284</v>
      </c>
      <c r="AB29" s="120">
        <v>10.879999999999999</v>
      </c>
      <c r="AC29" s="120">
        <v>1.9850000000000001</v>
      </c>
      <c r="AD29" s="120">
        <v>11.809999999999999</v>
      </c>
      <c r="AE29" s="120">
        <v>1.9750000000000001</v>
      </c>
      <c r="AF29" s="125">
        <f t="shared" si="197"/>
        <v>36.076628352490417</v>
      </c>
      <c r="AG29" s="125">
        <f t="shared" si="146"/>
        <v>3.5066666666666677</v>
      </c>
      <c r="AH29" s="125">
        <f t="shared" si="146"/>
        <v>41.848888888888894</v>
      </c>
      <c r="AI29" s="125">
        <f t="shared" si="146"/>
        <v>3.5966666666666676</v>
      </c>
      <c r="AJ29" s="125">
        <f t="shared" si="146"/>
        <v>54.114942528735639</v>
      </c>
      <c r="AK29" s="125">
        <f t="shared" si="146"/>
        <v>3.4766666666666679</v>
      </c>
      <c r="AL29" s="125">
        <f t="shared" si="146"/>
        <v>32.662835249042146</v>
      </c>
      <c r="AM29" s="125">
        <f t="shared" si="146"/>
        <v>2.8611111111111112</v>
      </c>
      <c r="AN29" s="125">
        <f t="shared" si="146"/>
        <v>37.888888888888879</v>
      </c>
      <c r="AO29" s="125">
        <f t="shared" si="146"/>
        <v>2.951111111111111</v>
      </c>
      <c r="AP29" s="125">
        <f t="shared" si="146"/>
        <v>48.994252873563212</v>
      </c>
      <c r="AQ29" s="125">
        <f t="shared" si="146"/>
        <v>2.8311111111111114</v>
      </c>
      <c r="AR29" s="125">
        <f t="shared" si="146"/>
        <v>28.906130268199227</v>
      </c>
      <c r="AS29" s="125">
        <f t="shared" si="146"/>
        <v>2.3022222222222215</v>
      </c>
      <c r="AT29" s="125">
        <f t="shared" si="146"/>
        <v>33.531111111111109</v>
      </c>
      <c r="AU29" s="125">
        <f t="shared" si="146"/>
        <v>2.3922222222222214</v>
      </c>
      <c r="AV29" s="125">
        <f t="shared" si="146"/>
        <v>43.359195402298852</v>
      </c>
      <c r="AW29" s="125">
        <f t="shared" si="146"/>
        <v>2.2722222222222217</v>
      </c>
      <c r="AX29" s="122">
        <f t="shared" si="198"/>
        <v>5.0411111111111104</v>
      </c>
      <c r="AY29" s="122">
        <f t="shared" si="147"/>
        <v>3.3866666666666667</v>
      </c>
      <c r="AZ29" s="122">
        <f t="shared" si="147"/>
        <v>6.5033333333333347</v>
      </c>
      <c r="BA29" s="122">
        <f t="shared" si="147"/>
        <v>3.3833333333333329</v>
      </c>
      <c r="BB29" s="122">
        <f t="shared" si="147"/>
        <v>7.8722222222222218</v>
      </c>
      <c r="BC29" s="122">
        <f t="shared" si="147"/>
        <v>2.9977777777777774</v>
      </c>
      <c r="BD29" s="122">
        <f t="shared" si="147"/>
        <v>14.132222222222225</v>
      </c>
      <c r="BE29" s="122">
        <f t="shared" si="147"/>
        <v>3.5822222222222222</v>
      </c>
      <c r="BF29" s="122">
        <f t="shared" si="147"/>
        <v>4.8844444444444433</v>
      </c>
      <c r="BG29" s="122">
        <f t="shared" si="147"/>
        <v>2.8977777777777782</v>
      </c>
      <c r="BH29" s="122">
        <f t="shared" si="147"/>
        <v>6.4522222222222227</v>
      </c>
      <c r="BI29" s="122">
        <f t="shared" si="147"/>
        <v>2.8522222222222213</v>
      </c>
      <c r="BJ29" s="122">
        <f t="shared" si="147"/>
        <v>7.7411111111111115</v>
      </c>
      <c r="BK29" s="122">
        <f t="shared" si="147"/>
        <v>2.5244444444444438</v>
      </c>
      <c r="BL29" s="122">
        <f t="shared" si="147"/>
        <v>13.796666666666665</v>
      </c>
      <c r="BM29" s="122">
        <f t="shared" si="147"/>
        <v>2.9688888888888894</v>
      </c>
      <c r="BN29" s="122">
        <f t="shared" si="147"/>
        <v>4.7122222222222216</v>
      </c>
      <c r="BO29" s="122">
        <f t="shared" si="147"/>
        <v>2.4711111111111119</v>
      </c>
      <c r="BP29" s="122">
        <f t="shared" si="147"/>
        <v>6.1655555555555548</v>
      </c>
      <c r="BQ29" s="122">
        <f t="shared" si="147"/>
        <v>2.4177777777777774</v>
      </c>
      <c r="BR29" s="122">
        <f t="shared" si="147"/>
        <v>7.8900000000000006</v>
      </c>
      <c r="BS29" s="122">
        <f t="shared" si="147"/>
        <v>2.2722222222222217</v>
      </c>
      <c r="BT29" s="122">
        <f t="shared" si="147"/>
        <v>13.16111111111111</v>
      </c>
      <c r="BU29" s="122">
        <f t="shared" si="147"/>
        <v>2.5077777777777772</v>
      </c>
      <c r="BV29" s="123">
        <v>22.9</v>
      </c>
      <c r="BW29" s="123">
        <f t="shared" si="199"/>
        <v>5.3966666666666665</v>
      </c>
      <c r="BX29" s="123">
        <f t="shared" si="148"/>
        <v>23.1</v>
      </c>
      <c r="BY29" s="123">
        <f t="shared" si="148"/>
        <v>4.2966666666666669</v>
      </c>
      <c r="BZ29" s="123">
        <f t="shared" si="148"/>
        <v>23.3</v>
      </c>
      <c r="CA29" s="123">
        <f t="shared" si="148"/>
        <v>3.5266666666666673</v>
      </c>
      <c r="CB29" s="123">
        <f t="shared" si="148"/>
        <v>28.9</v>
      </c>
      <c r="CC29" s="123">
        <f t="shared" si="148"/>
        <v>5.4266666666666667</v>
      </c>
      <c r="CD29" s="123">
        <f t="shared" si="148"/>
        <v>29.1</v>
      </c>
      <c r="CE29" s="123">
        <f t="shared" si="148"/>
        <v>4.3066666666666666</v>
      </c>
      <c r="CF29" s="123">
        <f t="shared" si="148"/>
        <v>29.3</v>
      </c>
      <c r="CG29" s="123">
        <f t="shared" si="148"/>
        <v>3.4566666666666674</v>
      </c>
      <c r="CH29" s="123">
        <f t="shared" si="148"/>
        <v>38.700000000000003</v>
      </c>
      <c r="CI29" s="123">
        <f t="shared" si="148"/>
        <v>4.9766666666666666</v>
      </c>
      <c r="CJ29" s="123">
        <f t="shared" si="148"/>
        <v>38.5</v>
      </c>
      <c r="CK29" s="123">
        <f t="shared" si="148"/>
        <v>4.2966666666666669</v>
      </c>
      <c r="CL29" s="123">
        <f t="shared" si="148"/>
        <v>38.799999999999997</v>
      </c>
      <c r="CM29" s="123">
        <f t="shared" si="148"/>
        <v>3.4466666666666672</v>
      </c>
      <c r="CN29" s="123">
        <f t="shared" si="149"/>
        <v>47.5</v>
      </c>
      <c r="CO29" s="123">
        <f t="shared" si="150"/>
        <v>5.2866666666666671</v>
      </c>
      <c r="CP29" s="123">
        <f t="shared" si="151"/>
        <v>47</v>
      </c>
      <c r="CQ29" s="123">
        <f t="shared" si="152"/>
        <v>4.2766666666666673</v>
      </c>
      <c r="CR29" s="123">
        <f t="shared" si="153"/>
        <v>47.7</v>
      </c>
      <c r="CS29" s="123">
        <f t="shared" si="154"/>
        <v>3.5466666666666673</v>
      </c>
      <c r="CT29" s="123">
        <f t="shared" si="155"/>
        <v>54.9</v>
      </c>
      <c r="CU29" s="123">
        <f t="shared" si="156"/>
        <v>5.2866666666666671</v>
      </c>
      <c r="CV29" s="123">
        <f t="shared" si="157"/>
        <v>56.2</v>
      </c>
      <c r="CW29" s="123">
        <f t="shared" si="158"/>
        <v>4.2766666666666673</v>
      </c>
      <c r="CX29" s="123">
        <f t="shared" si="159"/>
        <v>57.2</v>
      </c>
      <c r="CY29" s="123">
        <f t="shared" si="160"/>
        <v>3.5466666666666673</v>
      </c>
      <c r="CZ29" s="123">
        <f t="shared" si="161"/>
        <v>64</v>
      </c>
      <c r="DA29" s="123">
        <f t="shared" si="162"/>
        <v>5.3366666666666669</v>
      </c>
      <c r="DB29" s="123">
        <f t="shared" si="163"/>
        <v>64.7</v>
      </c>
      <c r="DC29" s="123">
        <f t="shared" si="164"/>
        <v>4.2566666666666668</v>
      </c>
      <c r="DD29" s="123">
        <f t="shared" si="165"/>
        <v>64</v>
      </c>
      <c r="DE29" s="123">
        <f t="shared" si="166"/>
        <v>3.3466666666666671</v>
      </c>
      <c r="DF29" s="123">
        <f t="shared" si="167"/>
        <v>72.8</v>
      </c>
      <c r="DG29" s="123">
        <f t="shared" si="168"/>
        <v>5.0966666666666667</v>
      </c>
      <c r="DH29" s="123">
        <f t="shared" si="169"/>
        <v>74.099999999999994</v>
      </c>
      <c r="DI29" s="123">
        <f t="shared" si="170"/>
        <v>4.1366666666666667</v>
      </c>
      <c r="DJ29" s="123">
        <f t="shared" si="171"/>
        <v>73.900000000000006</v>
      </c>
      <c r="DK29" s="123">
        <f t="shared" si="172"/>
        <v>3.4266666666666672</v>
      </c>
      <c r="DL29" s="123">
        <f t="shared" si="173"/>
        <v>78.3</v>
      </c>
      <c r="DM29" s="123">
        <f t="shared" si="174"/>
        <v>5.1466666666666665</v>
      </c>
      <c r="DN29" s="123">
        <f t="shared" si="175"/>
        <v>80.3</v>
      </c>
      <c r="DO29" s="123">
        <f t="shared" si="176"/>
        <v>4.246666666666667</v>
      </c>
      <c r="DP29" s="123">
        <f t="shared" si="177"/>
        <v>81.099999999999994</v>
      </c>
      <c r="DQ29" s="123">
        <f t="shared" si="178"/>
        <v>3.5766666666666675</v>
      </c>
      <c r="DR29" s="124">
        <f t="shared" si="179"/>
        <v>44.6</v>
      </c>
      <c r="DS29" s="124">
        <f t="shared" si="180"/>
        <v>4.5866666666666669</v>
      </c>
      <c r="DT29" s="124">
        <f t="shared" si="181"/>
        <v>42.8</v>
      </c>
      <c r="DU29" s="124">
        <f t="shared" si="182"/>
        <v>3.5866666666666673</v>
      </c>
      <c r="DV29" s="124">
        <f t="shared" si="183"/>
        <v>41</v>
      </c>
      <c r="DW29" s="124">
        <f t="shared" si="184"/>
        <v>2.9866666666666672</v>
      </c>
      <c r="DX29" s="124">
        <f t="shared" si="185"/>
        <v>59.6</v>
      </c>
      <c r="DY29" s="124">
        <f t="shared" si="186"/>
        <v>4.8866666666666667</v>
      </c>
      <c r="DZ29" s="124">
        <f t="shared" si="187"/>
        <v>56.8</v>
      </c>
      <c r="EA29" s="124">
        <f t="shared" si="188"/>
        <v>3.8866666666666672</v>
      </c>
      <c r="EB29" s="124">
        <f t="shared" si="189"/>
        <v>54</v>
      </c>
      <c r="EC29" s="124">
        <f t="shared" si="190"/>
        <v>2.9866666666666672</v>
      </c>
      <c r="ED29" s="124">
        <f t="shared" si="191"/>
        <v>86.7</v>
      </c>
      <c r="EE29" s="124">
        <f t="shared" si="192"/>
        <v>4.8866666666666667</v>
      </c>
      <c r="EF29" s="124">
        <f t="shared" si="193"/>
        <v>83.35</v>
      </c>
      <c r="EG29" s="124">
        <f t="shared" si="194"/>
        <v>3.7866666666666675</v>
      </c>
      <c r="EH29" s="124">
        <f t="shared" si="195"/>
        <v>80</v>
      </c>
      <c r="EI29" s="124">
        <f t="shared" si="196"/>
        <v>2.9866666666666672</v>
      </c>
      <c r="EJ29" s="102">
        <f t="shared" si="143"/>
        <v>6.2764705882352922</v>
      </c>
      <c r="EK29" s="102">
        <f t="shared" si="139"/>
        <v>4.7705882352941167</v>
      </c>
      <c r="EL29" s="102">
        <f t="shared" si="139"/>
        <v>5.9764705882352924</v>
      </c>
      <c r="EM29" s="102">
        <f t="shared" si="139"/>
        <v>3.6647058823529401</v>
      </c>
      <c r="EN29" s="102">
        <f t="shared" si="139"/>
        <v>5.6705882352941162</v>
      </c>
      <c r="EO29" s="102">
        <f t="shared" si="139"/>
        <v>2.9117647058823524</v>
      </c>
      <c r="EP29" s="102">
        <f t="shared" si="144"/>
        <v>8.4590909090909108</v>
      </c>
      <c r="EQ29" s="102">
        <f t="shared" si="140"/>
        <v>5.1909090909090922</v>
      </c>
      <c r="ER29" s="102">
        <f t="shared" si="140"/>
        <v>8.1590909090909101</v>
      </c>
      <c r="ES29" s="102">
        <f t="shared" si="140"/>
        <v>3.9681818181818191</v>
      </c>
      <c r="ET29" s="102">
        <f t="shared" si="140"/>
        <v>7.7181818181818178</v>
      </c>
      <c r="EU29" s="102">
        <f t="shared" si="140"/>
        <v>3.0454545454545459</v>
      </c>
      <c r="EV29" s="102">
        <f t="shared" si="140"/>
        <v>11.709090909090902</v>
      </c>
      <c r="EW29" s="102">
        <f t="shared" si="140"/>
        <v>5.3727272727272712</v>
      </c>
      <c r="EX29" s="102">
        <f t="shared" si="140"/>
        <v>11.186363636363645</v>
      </c>
      <c r="EY29" s="102">
        <f t="shared" si="140"/>
        <v>4.1272727272727252</v>
      </c>
      <c r="EZ29" s="102">
        <f t="shared" si="140"/>
        <v>10.463636363636358</v>
      </c>
      <c r="FA29" s="102">
        <f t="shared" si="140"/>
        <v>3.0863636363636355</v>
      </c>
      <c r="FB29" s="102">
        <f t="shared" si="140"/>
        <v>14.854545454545448</v>
      </c>
      <c r="FC29" s="102">
        <f t="shared" si="140"/>
        <v>5.3727272727272712</v>
      </c>
      <c r="FD29" s="102">
        <f t="shared" si="140"/>
        <v>14.231818181818175</v>
      </c>
      <c r="FE29" s="102">
        <f t="shared" si="140"/>
        <v>4.1681818181818189</v>
      </c>
      <c r="FF29" s="102">
        <f t="shared" si="140"/>
        <v>13.531818181818174</v>
      </c>
      <c r="FG29" s="102">
        <f t="shared" si="140"/>
        <v>3.2272727272727257</v>
      </c>
      <c r="FH29" s="102">
        <f t="shared" si="140"/>
        <v>18.840909090909079</v>
      </c>
      <c r="FI29" s="102">
        <f t="shared" si="140"/>
        <v>5.1090909090909129</v>
      </c>
      <c r="FJ29" s="102">
        <f t="shared" si="140"/>
        <v>17.899999999999995</v>
      </c>
      <c r="FK29" s="102">
        <f t="shared" si="140"/>
        <v>3.9272727272727259</v>
      </c>
      <c r="FL29" s="102">
        <f t="shared" si="140"/>
        <v>16.877272727272729</v>
      </c>
      <c r="FM29" s="102">
        <f t="shared" si="140"/>
        <v>3.0454545454545459</v>
      </c>
    </row>
    <row r="30" spans="1:169" s="89" customFormat="1" x14ac:dyDescent="0.25">
      <c r="A30" s="89">
        <v>-2</v>
      </c>
      <c r="B30" s="120">
        <v>5.1037499999999998</v>
      </c>
      <c r="C30" s="120">
        <v>3.0474999999999999</v>
      </c>
      <c r="D30" s="120">
        <v>6.9824999999999999</v>
      </c>
      <c r="E30" s="120">
        <v>3.0574999999999997</v>
      </c>
      <c r="F30" s="120">
        <v>9.6764285714285716</v>
      </c>
      <c r="G30" s="120">
        <v>3.1092857142857144</v>
      </c>
      <c r="H30" s="120">
        <v>12</v>
      </c>
      <c r="I30" s="120">
        <v>2.9050000000000002</v>
      </c>
      <c r="J30" s="120">
        <v>14.63625</v>
      </c>
      <c r="K30" s="120">
        <v>2.915</v>
      </c>
      <c r="L30" s="120">
        <v>5.0012499999999998</v>
      </c>
      <c r="M30" s="120">
        <v>2.6262499999999998</v>
      </c>
      <c r="N30" s="120">
        <v>6.6812500000000004</v>
      </c>
      <c r="O30" s="120">
        <v>2.7987500000000001</v>
      </c>
      <c r="P30" s="120">
        <v>9.5621428571428577</v>
      </c>
      <c r="Q30" s="120">
        <v>2.6207142857142856</v>
      </c>
      <c r="R30" s="120">
        <v>11.897500000000001</v>
      </c>
      <c r="S30" s="120">
        <v>2.5137499999999999</v>
      </c>
      <c r="T30" s="120">
        <v>13.551250000000001</v>
      </c>
      <c r="U30" s="120">
        <v>2.5137499999999999</v>
      </c>
      <c r="V30" s="120">
        <v>4.7299999999999995</v>
      </c>
      <c r="W30" s="120">
        <v>2.0625</v>
      </c>
      <c r="X30" s="120">
        <v>5.9237500000000001</v>
      </c>
      <c r="Y30" s="120">
        <v>2.1787499999999995</v>
      </c>
      <c r="Z30" s="120">
        <v>7.9842857142857149</v>
      </c>
      <c r="AA30" s="120">
        <v>2.2057142857142855</v>
      </c>
      <c r="AB30" s="120">
        <v>11.14</v>
      </c>
      <c r="AC30" s="120">
        <v>2.0162500000000003</v>
      </c>
      <c r="AD30" s="120">
        <v>12.092499999999999</v>
      </c>
      <c r="AE30" s="120">
        <v>2.0062500000000001</v>
      </c>
      <c r="AF30" s="125">
        <f t="shared" si="197"/>
        <v>36.595785440613021</v>
      </c>
      <c r="AG30" s="125">
        <f t="shared" si="146"/>
        <v>3.5933333333333346</v>
      </c>
      <c r="AH30" s="125">
        <f t="shared" si="146"/>
        <v>42.451111111111118</v>
      </c>
      <c r="AI30" s="125">
        <f t="shared" si="146"/>
        <v>3.6833333333333345</v>
      </c>
      <c r="AJ30" s="125">
        <f t="shared" si="146"/>
        <v>54.893678160919549</v>
      </c>
      <c r="AK30" s="125">
        <f t="shared" si="146"/>
        <v>3.5633333333333348</v>
      </c>
      <c r="AL30" s="125">
        <f t="shared" si="146"/>
        <v>33.199233716475099</v>
      </c>
      <c r="AM30" s="125">
        <f t="shared" si="146"/>
        <v>2.9288888888888889</v>
      </c>
      <c r="AN30" s="125">
        <f t="shared" si="146"/>
        <v>38.511111111111099</v>
      </c>
      <c r="AO30" s="125">
        <f t="shared" si="146"/>
        <v>3.0188888888888887</v>
      </c>
      <c r="AP30" s="125">
        <f t="shared" si="146"/>
        <v>49.798850574712638</v>
      </c>
      <c r="AQ30" s="125">
        <f t="shared" si="146"/>
        <v>2.8988888888888891</v>
      </c>
      <c r="AR30" s="125">
        <f t="shared" si="146"/>
        <v>29.455938697318</v>
      </c>
      <c r="AS30" s="125">
        <f t="shared" si="146"/>
        <v>2.3577777777777769</v>
      </c>
      <c r="AT30" s="125">
        <f t="shared" si="146"/>
        <v>34.168888888888887</v>
      </c>
      <c r="AU30" s="125">
        <f t="shared" si="146"/>
        <v>2.4477777777777767</v>
      </c>
      <c r="AV30" s="125">
        <f t="shared" si="146"/>
        <v>44.183908045977013</v>
      </c>
      <c r="AW30" s="125">
        <f t="shared" si="146"/>
        <v>2.3277777777777771</v>
      </c>
      <c r="AX30" s="122">
        <f t="shared" si="198"/>
        <v>5.238888888888888</v>
      </c>
      <c r="AY30" s="122">
        <f t="shared" si="147"/>
        <v>3.5033333333333334</v>
      </c>
      <c r="AZ30" s="122">
        <f t="shared" si="147"/>
        <v>6.6766666666666685</v>
      </c>
      <c r="BA30" s="122">
        <f t="shared" si="147"/>
        <v>3.4566666666666661</v>
      </c>
      <c r="BB30" s="122">
        <f t="shared" si="147"/>
        <v>8.2177777777777781</v>
      </c>
      <c r="BC30" s="122">
        <f t="shared" si="147"/>
        <v>3.1022222222222218</v>
      </c>
      <c r="BD30" s="122">
        <f t="shared" si="147"/>
        <v>14.477777777777781</v>
      </c>
      <c r="BE30" s="122">
        <f t="shared" si="147"/>
        <v>3.6477777777777778</v>
      </c>
      <c r="BF30" s="122">
        <f t="shared" si="147"/>
        <v>5.075555555555554</v>
      </c>
      <c r="BG30" s="122">
        <f t="shared" si="147"/>
        <v>2.9922222222222228</v>
      </c>
      <c r="BH30" s="122">
        <f t="shared" si="147"/>
        <v>6.6177777777777784</v>
      </c>
      <c r="BI30" s="122">
        <f t="shared" si="147"/>
        <v>2.9077777777777767</v>
      </c>
      <c r="BJ30" s="122">
        <f t="shared" si="147"/>
        <v>8.0488888888888894</v>
      </c>
      <c r="BK30" s="122">
        <f t="shared" si="147"/>
        <v>2.6055555555555547</v>
      </c>
      <c r="BL30" s="122">
        <f t="shared" si="147"/>
        <v>14.123333333333331</v>
      </c>
      <c r="BM30" s="122">
        <f t="shared" si="147"/>
        <v>3.0211111111111117</v>
      </c>
      <c r="BN30" s="122">
        <f t="shared" si="147"/>
        <v>4.8977777777777769</v>
      </c>
      <c r="BO30" s="122">
        <f t="shared" si="147"/>
        <v>2.5488888888888899</v>
      </c>
      <c r="BP30" s="122">
        <f t="shared" si="147"/>
        <v>6.2944444444444434</v>
      </c>
      <c r="BQ30" s="122">
        <f t="shared" si="147"/>
        <v>2.4622222222222216</v>
      </c>
      <c r="BR30" s="122">
        <f t="shared" si="147"/>
        <v>8.26</v>
      </c>
      <c r="BS30" s="122">
        <f t="shared" si="147"/>
        <v>2.3677777777777771</v>
      </c>
      <c r="BT30" s="122">
        <f t="shared" si="147"/>
        <v>13.408888888888887</v>
      </c>
      <c r="BU30" s="122">
        <f t="shared" si="147"/>
        <v>2.5522222222222215</v>
      </c>
      <c r="BV30" s="123">
        <v>22.9</v>
      </c>
      <c r="BW30" s="123">
        <f t="shared" si="199"/>
        <v>5.4033333333333333</v>
      </c>
      <c r="BX30" s="123">
        <f t="shared" si="148"/>
        <v>23.1</v>
      </c>
      <c r="BY30" s="123">
        <f t="shared" si="148"/>
        <v>4.3033333333333337</v>
      </c>
      <c r="BZ30" s="123">
        <f t="shared" si="148"/>
        <v>23.3</v>
      </c>
      <c r="CA30" s="123">
        <f t="shared" si="148"/>
        <v>3.5333333333333341</v>
      </c>
      <c r="CB30" s="123">
        <f t="shared" si="148"/>
        <v>28.9</v>
      </c>
      <c r="CC30" s="123">
        <f t="shared" si="148"/>
        <v>5.4333333333333336</v>
      </c>
      <c r="CD30" s="123">
        <f t="shared" si="148"/>
        <v>29.1</v>
      </c>
      <c r="CE30" s="123">
        <f t="shared" si="148"/>
        <v>4.3133333333333335</v>
      </c>
      <c r="CF30" s="123">
        <f t="shared" si="148"/>
        <v>29.3</v>
      </c>
      <c r="CG30" s="123">
        <f t="shared" si="148"/>
        <v>3.4633333333333343</v>
      </c>
      <c r="CH30" s="123">
        <f t="shared" si="148"/>
        <v>38.700000000000003</v>
      </c>
      <c r="CI30" s="123">
        <f t="shared" si="148"/>
        <v>4.9833333333333334</v>
      </c>
      <c r="CJ30" s="123">
        <f t="shared" si="148"/>
        <v>38.5</v>
      </c>
      <c r="CK30" s="123">
        <f t="shared" si="148"/>
        <v>4.3033333333333337</v>
      </c>
      <c r="CL30" s="123">
        <f t="shared" si="148"/>
        <v>38.799999999999997</v>
      </c>
      <c r="CM30" s="123">
        <f t="shared" si="148"/>
        <v>3.453333333333334</v>
      </c>
      <c r="CN30" s="123">
        <f t="shared" si="149"/>
        <v>47.5</v>
      </c>
      <c r="CO30" s="123">
        <f t="shared" si="150"/>
        <v>5.2933333333333339</v>
      </c>
      <c r="CP30" s="123">
        <f t="shared" si="151"/>
        <v>47</v>
      </c>
      <c r="CQ30" s="123">
        <f t="shared" si="152"/>
        <v>4.2833333333333341</v>
      </c>
      <c r="CR30" s="123">
        <f t="shared" si="153"/>
        <v>47.7</v>
      </c>
      <c r="CS30" s="123">
        <f t="shared" si="154"/>
        <v>3.5533333333333341</v>
      </c>
      <c r="CT30" s="123">
        <f t="shared" si="155"/>
        <v>54.9</v>
      </c>
      <c r="CU30" s="123">
        <f t="shared" si="156"/>
        <v>5.2933333333333339</v>
      </c>
      <c r="CV30" s="123">
        <f t="shared" si="157"/>
        <v>56.2</v>
      </c>
      <c r="CW30" s="123">
        <f t="shared" si="158"/>
        <v>4.2833333333333341</v>
      </c>
      <c r="CX30" s="123">
        <f t="shared" si="159"/>
        <v>57.2</v>
      </c>
      <c r="CY30" s="123">
        <f t="shared" si="160"/>
        <v>3.5533333333333341</v>
      </c>
      <c r="CZ30" s="123">
        <f t="shared" si="161"/>
        <v>64</v>
      </c>
      <c r="DA30" s="123">
        <f t="shared" si="162"/>
        <v>5.3433333333333337</v>
      </c>
      <c r="DB30" s="123">
        <f t="shared" si="163"/>
        <v>64.7</v>
      </c>
      <c r="DC30" s="123">
        <f t="shared" si="164"/>
        <v>4.2633333333333336</v>
      </c>
      <c r="DD30" s="123">
        <f t="shared" si="165"/>
        <v>64</v>
      </c>
      <c r="DE30" s="123">
        <f t="shared" si="166"/>
        <v>3.3533333333333339</v>
      </c>
      <c r="DF30" s="123">
        <f t="shared" si="167"/>
        <v>72.8</v>
      </c>
      <c r="DG30" s="123">
        <f t="shared" si="168"/>
        <v>5.1033333333333335</v>
      </c>
      <c r="DH30" s="123">
        <f t="shared" si="169"/>
        <v>74.099999999999994</v>
      </c>
      <c r="DI30" s="123">
        <f t="shared" si="170"/>
        <v>4.1433333333333335</v>
      </c>
      <c r="DJ30" s="123">
        <f t="shared" si="171"/>
        <v>73.900000000000006</v>
      </c>
      <c r="DK30" s="123">
        <f t="shared" si="172"/>
        <v>3.433333333333334</v>
      </c>
      <c r="DL30" s="123">
        <f t="shared" si="173"/>
        <v>78.3</v>
      </c>
      <c r="DM30" s="123">
        <f t="shared" si="174"/>
        <v>5.1533333333333333</v>
      </c>
      <c r="DN30" s="123">
        <f t="shared" si="175"/>
        <v>80.3</v>
      </c>
      <c r="DO30" s="123">
        <f t="shared" si="176"/>
        <v>4.2533333333333339</v>
      </c>
      <c r="DP30" s="123">
        <f t="shared" si="177"/>
        <v>81.099999999999994</v>
      </c>
      <c r="DQ30" s="123">
        <f t="shared" si="178"/>
        <v>3.5833333333333344</v>
      </c>
      <c r="DR30" s="124">
        <f t="shared" si="179"/>
        <v>44.6</v>
      </c>
      <c r="DS30" s="124">
        <f t="shared" si="180"/>
        <v>4.5933333333333337</v>
      </c>
      <c r="DT30" s="124">
        <f t="shared" si="181"/>
        <v>42.8</v>
      </c>
      <c r="DU30" s="124">
        <f t="shared" si="182"/>
        <v>3.5933333333333342</v>
      </c>
      <c r="DV30" s="124">
        <f t="shared" si="183"/>
        <v>41</v>
      </c>
      <c r="DW30" s="124">
        <f t="shared" si="184"/>
        <v>2.9933333333333341</v>
      </c>
      <c r="DX30" s="124">
        <f t="shared" si="185"/>
        <v>59.6</v>
      </c>
      <c r="DY30" s="124">
        <f t="shared" si="186"/>
        <v>4.8933333333333335</v>
      </c>
      <c r="DZ30" s="124">
        <f t="shared" si="187"/>
        <v>56.8</v>
      </c>
      <c r="EA30" s="124">
        <f t="shared" si="188"/>
        <v>3.893333333333334</v>
      </c>
      <c r="EB30" s="124">
        <f t="shared" si="189"/>
        <v>54</v>
      </c>
      <c r="EC30" s="124">
        <f t="shared" si="190"/>
        <v>2.9933333333333341</v>
      </c>
      <c r="ED30" s="124">
        <f t="shared" si="191"/>
        <v>86.7</v>
      </c>
      <c r="EE30" s="124">
        <f t="shared" si="192"/>
        <v>4.8933333333333335</v>
      </c>
      <c r="EF30" s="124">
        <f t="shared" si="193"/>
        <v>83.35</v>
      </c>
      <c r="EG30" s="124">
        <f t="shared" si="194"/>
        <v>3.7933333333333343</v>
      </c>
      <c r="EH30" s="124">
        <f t="shared" si="195"/>
        <v>80</v>
      </c>
      <c r="EI30" s="124">
        <f t="shared" si="196"/>
        <v>2.9933333333333341</v>
      </c>
      <c r="EJ30" s="102">
        <f t="shared" si="143"/>
        <v>6.3294117647058803</v>
      </c>
      <c r="EK30" s="102">
        <f t="shared" si="139"/>
        <v>4.8117647058823518</v>
      </c>
      <c r="EL30" s="102">
        <f t="shared" si="139"/>
        <v>6.0294117647058805</v>
      </c>
      <c r="EM30" s="102">
        <f t="shared" si="139"/>
        <v>3.6941176470588224</v>
      </c>
      <c r="EN30" s="102">
        <f t="shared" si="139"/>
        <v>5.7117647058823513</v>
      </c>
      <c r="EO30" s="102">
        <f t="shared" si="139"/>
        <v>2.9352941176470582</v>
      </c>
      <c r="EP30" s="102">
        <f t="shared" si="144"/>
        <v>8.5545454545454565</v>
      </c>
      <c r="EQ30" s="102">
        <f t="shared" si="140"/>
        <v>5.2454545454545469</v>
      </c>
      <c r="ER30" s="102">
        <f t="shared" si="140"/>
        <v>8.2545454545454557</v>
      </c>
      <c r="ES30" s="102">
        <f t="shared" si="140"/>
        <v>4.0090909090909097</v>
      </c>
      <c r="ET30" s="102">
        <f t="shared" si="140"/>
        <v>7.8090909090909086</v>
      </c>
      <c r="EU30" s="102">
        <f t="shared" si="140"/>
        <v>3.0727272727272732</v>
      </c>
      <c r="EV30" s="102">
        <f t="shared" si="140"/>
        <v>11.854545454545447</v>
      </c>
      <c r="EW30" s="102">
        <f t="shared" si="140"/>
        <v>5.4363636363636347</v>
      </c>
      <c r="EX30" s="102">
        <f t="shared" si="140"/>
        <v>11.318181818181827</v>
      </c>
      <c r="EY30" s="102">
        <f t="shared" si="140"/>
        <v>4.1636363636363614</v>
      </c>
      <c r="EZ30" s="102">
        <f t="shared" si="140"/>
        <v>10.581818181818175</v>
      </c>
      <c r="FA30" s="102">
        <f t="shared" si="140"/>
        <v>3.1181818181818173</v>
      </c>
      <c r="FB30" s="102">
        <f t="shared" si="140"/>
        <v>15.02727272727272</v>
      </c>
      <c r="FC30" s="102">
        <f t="shared" si="140"/>
        <v>5.4363636363636347</v>
      </c>
      <c r="FD30" s="102">
        <f t="shared" si="140"/>
        <v>14.390909090909084</v>
      </c>
      <c r="FE30" s="102">
        <f t="shared" si="140"/>
        <v>4.2090909090909099</v>
      </c>
      <c r="FF30" s="102">
        <f t="shared" si="140"/>
        <v>13.690909090909082</v>
      </c>
      <c r="FG30" s="102">
        <f t="shared" si="140"/>
        <v>3.2636363636363619</v>
      </c>
      <c r="FH30" s="102">
        <f t="shared" si="140"/>
        <v>19.045454545454533</v>
      </c>
      <c r="FI30" s="102">
        <f t="shared" si="140"/>
        <v>5.1545454545454588</v>
      </c>
      <c r="FJ30" s="102">
        <f t="shared" si="140"/>
        <v>18.099999999999994</v>
      </c>
      <c r="FK30" s="102">
        <f t="shared" si="140"/>
        <v>3.9636363636363621</v>
      </c>
      <c r="FL30" s="102">
        <f t="shared" si="140"/>
        <v>17.063636363636366</v>
      </c>
      <c r="FM30" s="102">
        <f t="shared" si="140"/>
        <v>3.0727272727272732</v>
      </c>
    </row>
    <row r="31" spans="1:169" s="89" customFormat="1" x14ac:dyDescent="0.25">
      <c r="A31" s="89">
        <v>-1</v>
      </c>
      <c r="B31" s="120">
        <v>5.2225000000000001</v>
      </c>
      <c r="C31" s="120">
        <v>3.0949999999999998</v>
      </c>
      <c r="D31" s="120">
        <v>7.1449999999999996</v>
      </c>
      <c r="E31" s="120">
        <v>3.1049999999999995</v>
      </c>
      <c r="F31" s="120">
        <v>9.9257142857142853</v>
      </c>
      <c r="G31" s="120">
        <v>3.1471428571428572</v>
      </c>
      <c r="H31" s="120">
        <v>12.28</v>
      </c>
      <c r="I31" s="120">
        <v>2.95</v>
      </c>
      <c r="J31" s="120">
        <v>14.977499999999999</v>
      </c>
      <c r="K31" s="120">
        <v>2.96</v>
      </c>
      <c r="L31" s="120">
        <v>5.1174999999999997</v>
      </c>
      <c r="M31" s="120">
        <v>2.6675</v>
      </c>
      <c r="N31" s="120">
        <v>6.8375000000000004</v>
      </c>
      <c r="O31" s="120">
        <v>2.8425000000000002</v>
      </c>
      <c r="P31" s="120">
        <v>9.8085714285714278</v>
      </c>
      <c r="Q31" s="120">
        <v>2.652857142857143</v>
      </c>
      <c r="R31" s="120">
        <v>12.175000000000001</v>
      </c>
      <c r="S31" s="120">
        <v>2.5524999999999998</v>
      </c>
      <c r="T31" s="120">
        <v>13.867500000000001</v>
      </c>
      <c r="U31" s="120">
        <v>2.5524999999999998</v>
      </c>
      <c r="V31" s="120">
        <v>4.84</v>
      </c>
      <c r="W31" s="120">
        <v>2.0949999999999998</v>
      </c>
      <c r="X31" s="120">
        <v>6.0625000000000009</v>
      </c>
      <c r="Y31" s="120">
        <v>2.2124999999999995</v>
      </c>
      <c r="Z31" s="120">
        <v>8.1971428571428575</v>
      </c>
      <c r="AA31" s="120">
        <v>2.2328571428571427</v>
      </c>
      <c r="AB31" s="120">
        <v>11.4</v>
      </c>
      <c r="AC31" s="120">
        <v>2.0475000000000003</v>
      </c>
      <c r="AD31" s="120">
        <v>12.375</v>
      </c>
      <c r="AE31" s="120">
        <v>2.0375000000000001</v>
      </c>
      <c r="AF31" s="125">
        <f t="shared" si="197"/>
        <v>37.114942528735625</v>
      </c>
      <c r="AG31" s="125">
        <f t="shared" si="146"/>
        <v>3.6800000000000015</v>
      </c>
      <c r="AH31" s="125">
        <f t="shared" si="146"/>
        <v>43.053333333333342</v>
      </c>
      <c r="AI31" s="125">
        <f t="shared" si="146"/>
        <v>3.7700000000000014</v>
      </c>
      <c r="AJ31" s="125">
        <f t="shared" si="146"/>
        <v>55.672413793103459</v>
      </c>
      <c r="AK31" s="125">
        <f t="shared" si="146"/>
        <v>3.6500000000000017</v>
      </c>
      <c r="AL31" s="125">
        <f t="shared" si="146"/>
        <v>33.735632183908052</v>
      </c>
      <c r="AM31" s="125">
        <f t="shared" si="146"/>
        <v>2.9966666666666666</v>
      </c>
      <c r="AN31" s="125">
        <f t="shared" si="146"/>
        <v>39.133333333333319</v>
      </c>
      <c r="AO31" s="125">
        <f t="shared" si="146"/>
        <v>3.0866666666666664</v>
      </c>
      <c r="AP31" s="125">
        <f t="shared" si="146"/>
        <v>50.603448275862064</v>
      </c>
      <c r="AQ31" s="125">
        <f t="shared" si="146"/>
        <v>2.9666666666666668</v>
      </c>
      <c r="AR31" s="125">
        <f t="shared" si="146"/>
        <v>30.005747126436773</v>
      </c>
      <c r="AS31" s="125">
        <f t="shared" si="146"/>
        <v>2.4133333333333322</v>
      </c>
      <c r="AT31" s="125">
        <f t="shared" si="146"/>
        <v>34.806666666666665</v>
      </c>
      <c r="AU31" s="125">
        <f t="shared" si="146"/>
        <v>2.5033333333333321</v>
      </c>
      <c r="AV31" s="125">
        <f t="shared" si="146"/>
        <v>45.008620689655174</v>
      </c>
      <c r="AW31" s="125">
        <f t="shared" si="146"/>
        <v>2.3833333333333324</v>
      </c>
      <c r="AX31" s="122">
        <f t="shared" si="198"/>
        <v>5.4366666666666656</v>
      </c>
      <c r="AY31" s="122">
        <f t="shared" si="147"/>
        <v>3.62</v>
      </c>
      <c r="AZ31" s="122">
        <f t="shared" si="147"/>
        <v>6.8500000000000023</v>
      </c>
      <c r="BA31" s="122">
        <f t="shared" si="147"/>
        <v>3.5299999999999994</v>
      </c>
      <c r="BB31" s="122">
        <f t="shared" si="147"/>
        <v>8.5633333333333344</v>
      </c>
      <c r="BC31" s="122">
        <f t="shared" si="147"/>
        <v>3.2066666666666661</v>
      </c>
      <c r="BD31" s="122">
        <f t="shared" si="147"/>
        <v>14.823333333333338</v>
      </c>
      <c r="BE31" s="122">
        <f t="shared" si="147"/>
        <v>3.7133333333333334</v>
      </c>
      <c r="BF31" s="122">
        <f t="shared" si="147"/>
        <v>5.2666666666666648</v>
      </c>
      <c r="BG31" s="122">
        <f t="shared" si="147"/>
        <v>3.0866666666666673</v>
      </c>
      <c r="BH31" s="122">
        <f t="shared" si="147"/>
        <v>6.7833333333333341</v>
      </c>
      <c r="BI31" s="122">
        <f t="shared" si="147"/>
        <v>2.963333333333332</v>
      </c>
      <c r="BJ31" s="122">
        <f t="shared" si="147"/>
        <v>8.3566666666666674</v>
      </c>
      <c r="BK31" s="122">
        <f t="shared" si="147"/>
        <v>2.6866666666666656</v>
      </c>
      <c r="BL31" s="122">
        <f t="shared" si="147"/>
        <v>14.449999999999998</v>
      </c>
      <c r="BM31" s="122">
        <f t="shared" si="147"/>
        <v>3.0733333333333341</v>
      </c>
      <c r="BN31" s="122">
        <f t="shared" si="147"/>
        <v>5.0833333333333321</v>
      </c>
      <c r="BO31" s="122">
        <f t="shared" si="147"/>
        <v>2.6266666666666678</v>
      </c>
      <c r="BP31" s="122">
        <f t="shared" si="147"/>
        <v>6.423333333333332</v>
      </c>
      <c r="BQ31" s="122">
        <f t="shared" si="147"/>
        <v>2.5066666666666659</v>
      </c>
      <c r="BR31" s="122">
        <f t="shared" si="147"/>
        <v>8.629999999999999</v>
      </c>
      <c r="BS31" s="122">
        <f t="shared" si="147"/>
        <v>2.4633333333333325</v>
      </c>
      <c r="BT31" s="122">
        <f t="shared" si="147"/>
        <v>13.656666666666665</v>
      </c>
      <c r="BU31" s="122">
        <f t="shared" si="147"/>
        <v>2.5966666666666658</v>
      </c>
      <c r="BV31" s="123">
        <v>22.9</v>
      </c>
      <c r="BW31" s="123">
        <f t="shared" si="199"/>
        <v>5.41</v>
      </c>
      <c r="BX31" s="123">
        <f t="shared" si="148"/>
        <v>23.1</v>
      </c>
      <c r="BY31" s="123">
        <f t="shared" si="148"/>
        <v>4.3100000000000005</v>
      </c>
      <c r="BZ31" s="123">
        <f t="shared" si="148"/>
        <v>23.3</v>
      </c>
      <c r="CA31" s="123">
        <f t="shared" si="148"/>
        <v>3.5400000000000009</v>
      </c>
      <c r="CB31" s="123">
        <f t="shared" si="148"/>
        <v>28.9</v>
      </c>
      <c r="CC31" s="123">
        <f t="shared" si="148"/>
        <v>5.44</v>
      </c>
      <c r="CD31" s="123">
        <f t="shared" si="148"/>
        <v>29.1</v>
      </c>
      <c r="CE31" s="123">
        <f t="shared" si="148"/>
        <v>4.32</v>
      </c>
      <c r="CF31" s="123">
        <f t="shared" si="148"/>
        <v>29.3</v>
      </c>
      <c r="CG31" s="123">
        <f t="shared" si="148"/>
        <v>3.4700000000000011</v>
      </c>
      <c r="CH31" s="123">
        <f t="shared" si="148"/>
        <v>38.700000000000003</v>
      </c>
      <c r="CI31" s="123">
        <f t="shared" si="148"/>
        <v>4.99</v>
      </c>
      <c r="CJ31" s="123">
        <f t="shared" si="148"/>
        <v>38.5</v>
      </c>
      <c r="CK31" s="123">
        <f t="shared" si="148"/>
        <v>4.3100000000000005</v>
      </c>
      <c r="CL31" s="123">
        <f t="shared" si="148"/>
        <v>38.799999999999997</v>
      </c>
      <c r="CM31" s="123">
        <f t="shared" si="148"/>
        <v>3.4600000000000009</v>
      </c>
      <c r="CN31" s="123">
        <f t="shared" si="149"/>
        <v>47.5</v>
      </c>
      <c r="CO31" s="123">
        <f t="shared" si="150"/>
        <v>5.3000000000000007</v>
      </c>
      <c r="CP31" s="123">
        <f t="shared" si="151"/>
        <v>47</v>
      </c>
      <c r="CQ31" s="123">
        <f t="shared" si="152"/>
        <v>4.2900000000000009</v>
      </c>
      <c r="CR31" s="123">
        <f t="shared" si="153"/>
        <v>47.7</v>
      </c>
      <c r="CS31" s="123">
        <f t="shared" si="154"/>
        <v>3.5600000000000009</v>
      </c>
      <c r="CT31" s="123">
        <f t="shared" si="155"/>
        <v>54.9</v>
      </c>
      <c r="CU31" s="123">
        <f t="shared" si="156"/>
        <v>5.3000000000000007</v>
      </c>
      <c r="CV31" s="123">
        <f t="shared" si="157"/>
        <v>56.2</v>
      </c>
      <c r="CW31" s="123">
        <f t="shared" si="158"/>
        <v>4.2900000000000009</v>
      </c>
      <c r="CX31" s="123">
        <f t="shared" si="159"/>
        <v>57.2</v>
      </c>
      <c r="CY31" s="123">
        <f t="shared" si="160"/>
        <v>3.5600000000000009</v>
      </c>
      <c r="CZ31" s="123">
        <f t="shared" si="161"/>
        <v>64</v>
      </c>
      <c r="DA31" s="123">
        <f t="shared" si="162"/>
        <v>5.3500000000000005</v>
      </c>
      <c r="DB31" s="123">
        <f t="shared" si="163"/>
        <v>64.7</v>
      </c>
      <c r="DC31" s="123">
        <f t="shared" si="164"/>
        <v>4.2700000000000005</v>
      </c>
      <c r="DD31" s="123">
        <f t="shared" si="165"/>
        <v>64</v>
      </c>
      <c r="DE31" s="123">
        <f t="shared" si="166"/>
        <v>3.3600000000000008</v>
      </c>
      <c r="DF31" s="123">
        <f t="shared" si="167"/>
        <v>72.8</v>
      </c>
      <c r="DG31" s="123">
        <f t="shared" si="168"/>
        <v>5.1100000000000003</v>
      </c>
      <c r="DH31" s="123">
        <f t="shared" si="169"/>
        <v>74.099999999999994</v>
      </c>
      <c r="DI31" s="123">
        <f t="shared" si="170"/>
        <v>4.1500000000000004</v>
      </c>
      <c r="DJ31" s="123">
        <f t="shared" si="171"/>
        <v>73.900000000000006</v>
      </c>
      <c r="DK31" s="123">
        <f t="shared" si="172"/>
        <v>3.4400000000000008</v>
      </c>
      <c r="DL31" s="123">
        <f t="shared" si="173"/>
        <v>78.3</v>
      </c>
      <c r="DM31" s="123">
        <f t="shared" si="174"/>
        <v>5.16</v>
      </c>
      <c r="DN31" s="123">
        <f t="shared" si="175"/>
        <v>80.3</v>
      </c>
      <c r="DO31" s="123">
        <f t="shared" si="176"/>
        <v>4.2600000000000007</v>
      </c>
      <c r="DP31" s="123">
        <f t="shared" si="177"/>
        <v>81.099999999999994</v>
      </c>
      <c r="DQ31" s="123">
        <f t="shared" si="178"/>
        <v>3.5900000000000012</v>
      </c>
      <c r="DR31" s="124">
        <f t="shared" si="179"/>
        <v>44.6</v>
      </c>
      <c r="DS31" s="124">
        <f t="shared" si="180"/>
        <v>4.6000000000000005</v>
      </c>
      <c r="DT31" s="124">
        <f t="shared" si="181"/>
        <v>42.8</v>
      </c>
      <c r="DU31" s="124">
        <f t="shared" si="182"/>
        <v>3.600000000000001</v>
      </c>
      <c r="DV31" s="124">
        <f t="shared" si="183"/>
        <v>41</v>
      </c>
      <c r="DW31" s="124">
        <f t="shared" si="184"/>
        <v>3.0000000000000009</v>
      </c>
      <c r="DX31" s="124">
        <f t="shared" si="185"/>
        <v>59.6</v>
      </c>
      <c r="DY31" s="124">
        <f t="shared" si="186"/>
        <v>4.9000000000000004</v>
      </c>
      <c r="DZ31" s="124">
        <f t="shared" si="187"/>
        <v>56.8</v>
      </c>
      <c r="EA31" s="124">
        <f t="shared" si="188"/>
        <v>3.9000000000000008</v>
      </c>
      <c r="EB31" s="124">
        <f t="shared" si="189"/>
        <v>54</v>
      </c>
      <c r="EC31" s="124">
        <f t="shared" si="190"/>
        <v>3.0000000000000009</v>
      </c>
      <c r="ED31" s="124">
        <f t="shared" si="191"/>
        <v>86.7</v>
      </c>
      <c r="EE31" s="124">
        <f t="shared" si="192"/>
        <v>4.9000000000000004</v>
      </c>
      <c r="EF31" s="124">
        <f t="shared" si="193"/>
        <v>83.35</v>
      </c>
      <c r="EG31" s="124">
        <f t="shared" si="194"/>
        <v>3.8000000000000012</v>
      </c>
      <c r="EH31" s="124">
        <f t="shared" si="195"/>
        <v>80</v>
      </c>
      <c r="EI31" s="124">
        <f t="shared" si="196"/>
        <v>3.0000000000000009</v>
      </c>
      <c r="EJ31" s="102">
        <f t="shared" si="143"/>
        <v>6.3823529411764683</v>
      </c>
      <c r="EK31" s="102">
        <f t="shared" si="139"/>
        <v>4.852941176470587</v>
      </c>
      <c r="EL31" s="102">
        <f t="shared" si="139"/>
        <v>6.0823529411764685</v>
      </c>
      <c r="EM31" s="102">
        <f t="shared" si="139"/>
        <v>3.7235294117647046</v>
      </c>
      <c r="EN31" s="102">
        <f t="shared" si="139"/>
        <v>5.7529411764705864</v>
      </c>
      <c r="EO31" s="102">
        <f t="shared" si="139"/>
        <v>2.958823529411764</v>
      </c>
      <c r="EP31" s="102">
        <f t="shared" si="144"/>
        <v>8.6500000000000021</v>
      </c>
      <c r="EQ31" s="102">
        <f t="shared" si="140"/>
        <v>5.3000000000000016</v>
      </c>
      <c r="ER31" s="102">
        <f t="shared" si="140"/>
        <v>8.3500000000000014</v>
      </c>
      <c r="ES31" s="102">
        <f t="shared" si="140"/>
        <v>4.0500000000000007</v>
      </c>
      <c r="ET31" s="102">
        <f t="shared" si="140"/>
        <v>7.8999999999999995</v>
      </c>
      <c r="EU31" s="102">
        <f t="shared" si="140"/>
        <v>3.1000000000000005</v>
      </c>
      <c r="EV31" s="102">
        <f t="shared" si="140"/>
        <v>11.999999999999991</v>
      </c>
      <c r="EW31" s="102">
        <f t="shared" si="140"/>
        <v>5.4999999999999982</v>
      </c>
      <c r="EX31" s="102">
        <f t="shared" si="140"/>
        <v>11.45000000000001</v>
      </c>
      <c r="EY31" s="102">
        <f t="shared" si="140"/>
        <v>4.1999999999999975</v>
      </c>
      <c r="EZ31" s="102">
        <f t="shared" si="140"/>
        <v>10.699999999999992</v>
      </c>
      <c r="FA31" s="102">
        <f t="shared" si="140"/>
        <v>3.149999999999999</v>
      </c>
      <c r="FB31" s="102">
        <f t="shared" si="140"/>
        <v>15.199999999999992</v>
      </c>
      <c r="FC31" s="102">
        <f t="shared" si="140"/>
        <v>5.4999999999999982</v>
      </c>
      <c r="FD31" s="102">
        <f t="shared" si="140"/>
        <v>14.549999999999992</v>
      </c>
      <c r="FE31" s="102">
        <f t="shared" si="140"/>
        <v>4.2500000000000009</v>
      </c>
      <c r="FF31" s="102">
        <f t="shared" si="140"/>
        <v>13.849999999999991</v>
      </c>
      <c r="FG31" s="102">
        <f t="shared" si="140"/>
        <v>3.299999999999998</v>
      </c>
      <c r="FH31" s="102">
        <f t="shared" si="140"/>
        <v>19.249999999999986</v>
      </c>
      <c r="FI31" s="102">
        <f t="shared" si="140"/>
        <v>5.2000000000000046</v>
      </c>
      <c r="FJ31" s="102">
        <f t="shared" si="140"/>
        <v>18.299999999999994</v>
      </c>
      <c r="FK31" s="102">
        <f t="shared" si="140"/>
        <v>3.9999999999999982</v>
      </c>
      <c r="FL31" s="102">
        <f t="shared" si="140"/>
        <v>17.250000000000004</v>
      </c>
      <c r="FM31" s="102">
        <f t="shared" si="140"/>
        <v>3.1000000000000005</v>
      </c>
    </row>
    <row r="32" spans="1:169" s="89" customFormat="1" x14ac:dyDescent="0.25">
      <c r="A32" s="89">
        <v>0</v>
      </c>
      <c r="B32" s="120">
        <v>5.3412499999999996</v>
      </c>
      <c r="C32" s="120">
        <v>3.1425000000000001</v>
      </c>
      <c r="D32" s="120">
        <v>7.3074999999999992</v>
      </c>
      <c r="E32" s="120">
        <v>3.1524999999999999</v>
      </c>
      <c r="F32" s="120">
        <v>10.174999999999999</v>
      </c>
      <c r="G32" s="120">
        <v>3.1850000000000001</v>
      </c>
      <c r="H32" s="120">
        <v>12.559999999999999</v>
      </c>
      <c r="I32" s="120">
        <v>2.9950000000000006</v>
      </c>
      <c r="J32" s="120">
        <v>15.31875</v>
      </c>
      <c r="K32" s="120">
        <v>3.0049999999999999</v>
      </c>
      <c r="L32" s="120">
        <v>5.2337499999999997</v>
      </c>
      <c r="M32" s="120">
        <v>2.7087500000000002</v>
      </c>
      <c r="N32" s="120">
        <v>6.9937500000000004</v>
      </c>
      <c r="O32" s="120">
        <v>2.8862500000000004</v>
      </c>
      <c r="P32" s="120">
        <v>10.055</v>
      </c>
      <c r="Q32" s="120">
        <v>2.6850000000000001</v>
      </c>
      <c r="R32" s="120">
        <v>12.452500000000001</v>
      </c>
      <c r="S32" s="120">
        <v>2.5912499999999996</v>
      </c>
      <c r="T32" s="120">
        <v>14.183750000000002</v>
      </c>
      <c r="U32" s="120">
        <v>2.5912499999999996</v>
      </c>
      <c r="V32" s="120">
        <v>4.9499999999999993</v>
      </c>
      <c r="W32" s="120">
        <v>2.1274999999999999</v>
      </c>
      <c r="X32" s="120">
        <v>6.2012500000000008</v>
      </c>
      <c r="Y32" s="120">
        <v>2.2462499999999999</v>
      </c>
      <c r="Z32" s="120">
        <v>8.41</v>
      </c>
      <c r="AA32" s="120">
        <v>2.2599999999999998</v>
      </c>
      <c r="AB32" s="120">
        <v>11.66</v>
      </c>
      <c r="AC32" s="120">
        <v>2.0787500000000003</v>
      </c>
      <c r="AD32" s="120">
        <v>12.657499999999999</v>
      </c>
      <c r="AE32" s="120">
        <v>2.0687500000000001</v>
      </c>
      <c r="AF32" s="125">
        <f t="shared" si="197"/>
        <v>37.634099616858229</v>
      </c>
      <c r="AG32" s="125">
        <f t="shared" si="146"/>
        <v>3.7666666666666684</v>
      </c>
      <c r="AH32" s="125">
        <f t="shared" si="146"/>
        <v>43.655555555555566</v>
      </c>
      <c r="AI32" s="125">
        <f t="shared" si="146"/>
        <v>3.8566666666666682</v>
      </c>
      <c r="AJ32" s="125">
        <f t="shared" si="146"/>
        <v>56.451149425287369</v>
      </c>
      <c r="AK32" s="125">
        <f t="shared" si="146"/>
        <v>3.7366666666666686</v>
      </c>
      <c r="AL32" s="125">
        <f t="shared" si="146"/>
        <v>34.272030651341005</v>
      </c>
      <c r="AM32" s="125">
        <f t="shared" si="146"/>
        <v>3.0644444444444443</v>
      </c>
      <c r="AN32" s="125">
        <f t="shared" si="146"/>
        <v>39.755555555555539</v>
      </c>
      <c r="AO32" s="125">
        <f t="shared" si="146"/>
        <v>3.1544444444444442</v>
      </c>
      <c r="AP32" s="125">
        <f t="shared" si="146"/>
        <v>51.40804597701149</v>
      </c>
      <c r="AQ32" s="125">
        <f t="shared" si="146"/>
        <v>3.0344444444444445</v>
      </c>
      <c r="AR32" s="125">
        <f t="shared" si="146"/>
        <v>30.555555555555546</v>
      </c>
      <c r="AS32" s="125">
        <f t="shared" si="146"/>
        <v>2.4688888888888876</v>
      </c>
      <c r="AT32" s="125">
        <f t="shared" si="146"/>
        <v>35.444444444444443</v>
      </c>
      <c r="AU32" s="125">
        <f t="shared" si="146"/>
        <v>2.5588888888888874</v>
      </c>
      <c r="AV32" s="125">
        <f t="shared" si="146"/>
        <v>45.833333333333336</v>
      </c>
      <c r="AW32" s="125">
        <f t="shared" si="146"/>
        <v>2.4388888888888878</v>
      </c>
      <c r="AX32" s="122">
        <f t="shared" si="198"/>
        <v>5.6344444444444433</v>
      </c>
      <c r="AY32" s="122">
        <f t="shared" si="147"/>
        <v>3.7366666666666668</v>
      </c>
      <c r="AZ32" s="122">
        <f t="shared" si="147"/>
        <v>7.0233333333333361</v>
      </c>
      <c r="BA32" s="122">
        <f t="shared" si="147"/>
        <v>3.6033333333333326</v>
      </c>
      <c r="BB32" s="122">
        <f t="shared" si="147"/>
        <v>8.9088888888888906</v>
      </c>
      <c r="BC32" s="122">
        <f t="shared" si="147"/>
        <v>3.3111111111111104</v>
      </c>
      <c r="BD32" s="122">
        <f t="shared" si="147"/>
        <v>15.168888888888894</v>
      </c>
      <c r="BE32" s="122">
        <f t="shared" si="147"/>
        <v>3.778888888888889</v>
      </c>
      <c r="BF32" s="122">
        <f t="shared" si="147"/>
        <v>5.4577777777777756</v>
      </c>
      <c r="BG32" s="122">
        <f t="shared" si="147"/>
        <v>3.1811111111111119</v>
      </c>
      <c r="BH32" s="122">
        <f t="shared" si="147"/>
        <v>6.9488888888888898</v>
      </c>
      <c r="BI32" s="122">
        <f t="shared" si="147"/>
        <v>3.0188888888888874</v>
      </c>
      <c r="BJ32" s="122">
        <f t="shared" si="147"/>
        <v>8.6644444444444453</v>
      </c>
      <c r="BK32" s="122">
        <f t="shared" si="147"/>
        <v>2.7677777777777766</v>
      </c>
      <c r="BL32" s="122">
        <f t="shared" si="147"/>
        <v>14.776666666666664</v>
      </c>
      <c r="BM32" s="122">
        <f t="shared" si="147"/>
        <v>3.1255555555555565</v>
      </c>
      <c r="BN32" s="122">
        <f t="shared" si="147"/>
        <v>5.2688888888888874</v>
      </c>
      <c r="BO32" s="122">
        <f t="shared" si="147"/>
        <v>2.7044444444444458</v>
      </c>
      <c r="BP32" s="122">
        <f t="shared" si="147"/>
        <v>6.5522222222222206</v>
      </c>
      <c r="BQ32" s="122">
        <f t="shared" si="147"/>
        <v>2.5511111111111102</v>
      </c>
      <c r="BR32" s="122">
        <f t="shared" si="147"/>
        <v>8.9999999999999982</v>
      </c>
      <c r="BS32" s="122">
        <f t="shared" si="147"/>
        <v>2.5588888888888879</v>
      </c>
      <c r="BT32" s="122">
        <f t="shared" si="147"/>
        <v>13.904444444444442</v>
      </c>
      <c r="BU32" s="122">
        <f t="shared" si="147"/>
        <v>2.6411111111111101</v>
      </c>
      <c r="BV32" s="123">
        <v>22.9</v>
      </c>
      <c r="BW32" s="123">
        <f t="shared" si="199"/>
        <v>5.416666666666667</v>
      </c>
      <c r="BX32" s="123">
        <f t="shared" si="148"/>
        <v>23.1</v>
      </c>
      <c r="BY32" s="123">
        <f t="shared" si="148"/>
        <v>4.3166666666666673</v>
      </c>
      <c r="BZ32" s="123">
        <f t="shared" si="148"/>
        <v>23.3</v>
      </c>
      <c r="CA32" s="123">
        <f t="shared" si="148"/>
        <v>3.5466666666666677</v>
      </c>
      <c r="CB32" s="123">
        <f t="shared" si="148"/>
        <v>28.9</v>
      </c>
      <c r="CC32" s="123">
        <f t="shared" si="148"/>
        <v>5.4466666666666672</v>
      </c>
      <c r="CD32" s="123">
        <f t="shared" si="148"/>
        <v>29.1</v>
      </c>
      <c r="CE32" s="123">
        <f t="shared" si="148"/>
        <v>4.3266666666666671</v>
      </c>
      <c r="CF32" s="123">
        <f t="shared" si="148"/>
        <v>29.3</v>
      </c>
      <c r="CG32" s="123">
        <f t="shared" si="148"/>
        <v>3.4766666666666679</v>
      </c>
      <c r="CH32" s="123">
        <f t="shared" si="148"/>
        <v>38.700000000000003</v>
      </c>
      <c r="CI32" s="123">
        <f t="shared" si="148"/>
        <v>4.996666666666667</v>
      </c>
      <c r="CJ32" s="123">
        <f t="shared" si="148"/>
        <v>38.5</v>
      </c>
      <c r="CK32" s="123">
        <f t="shared" si="148"/>
        <v>4.3166666666666673</v>
      </c>
      <c r="CL32" s="123">
        <f t="shared" si="148"/>
        <v>38.799999999999997</v>
      </c>
      <c r="CM32" s="123">
        <f t="shared" si="148"/>
        <v>3.4666666666666677</v>
      </c>
      <c r="CN32" s="123">
        <f t="shared" si="149"/>
        <v>47.5</v>
      </c>
      <c r="CO32" s="123">
        <f t="shared" si="150"/>
        <v>5.3066666666666675</v>
      </c>
      <c r="CP32" s="123">
        <f t="shared" si="151"/>
        <v>47</v>
      </c>
      <c r="CQ32" s="123">
        <f t="shared" si="152"/>
        <v>4.2966666666666677</v>
      </c>
      <c r="CR32" s="123">
        <f t="shared" si="153"/>
        <v>47.7</v>
      </c>
      <c r="CS32" s="123">
        <f t="shared" si="154"/>
        <v>3.5666666666666678</v>
      </c>
      <c r="CT32" s="123">
        <f t="shared" si="155"/>
        <v>54.9</v>
      </c>
      <c r="CU32" s="123">
        <f t="shared" si="156"/>
        <v>5.3066666666666675</v>
      </c>
      <c r="CV32" s="123">
        <f t="shared" si="157"/>
        <v>56.2</v>
      </c>
      <c r="CW32" s="123">
        <f t="shared" si="158"/>
        <v>4.2966666666666677</v>
      </c>
      <c r="CX32" s="123">
        <f t="shared" si="159"/>
        <v>57.2</v>
      </c>
      <c r="CY32" s="123">
        <f t="shared" si="160"/>
        <v>3.5666666666666678</v>
      </c>
      <c r="CZ32" s="123">
        <f t="shared" si="161"/>
        <v>64</v>
      </c>
      <c r="DA32" s="123">
        <f t="shared" si="162"/>
        <v>5.3566666666666674</v>
      </c>
      <c r="DB32" s="123">
        <f t="shared" si="163"/>
        <v>64.7</v>
      </c>
      <c r="DC32" s="123">
        <f t="shared" si="164"/>
        <v>4.2766666666666673</v>
      </c>
      <c r="DD32" s="123">
        <f t="shared" si="165"/>
        <v>64</v>
      </c>
      <c r="DE32" s="123">
        <f t="shared" si="166"/>
        <v>3.3666666666666676</v>
      </c>
      <c r="DF32" s="123">
        <f t="shared" si="167"/>
        <v>72.8</v>
      </c>
      <c r="DG32" s="123">
        <f t="shared" si="168"/>
        <v>5.1166666666666671</v>
      </c>
      <c r="DH32" s="123">
        <f t="shared" si="169"/>
        <v>74.099999999999994</v>
      </c>
      <c r="DI32" s="123">
        <f t="shared" si="170"/>
        <v>4.1566666666666672</v>
      </c>
      <c r="DJ32" s="123">
        <f t="shared" si="171"/>
        <v>73.900000000000006</v>
      </c>
      <c r="DK32" s="123">
        <f t="shared" si="172"/>
        <v>3.4466666666666677</v>
      </c>
      <c r="DL32" s="123">
        <f t="shared" si="173"/>
        <v>78.3</v>
      </c>
      <c r="DM32" s="123">
        <f t="shared" si="174"/>
        <v>5.166666666666667</v>
      </c>
      <c r="DN32" s="123">
        <f t="shared" si="175"/>
        <v>80.3</v>
      </c>
      <c r="DO32" s="123">
        <f t="shared" si="176"/>
        <v>4.2666666666666675</v>
      </c>
      <c r="DP32" s="123">
        <f t="shared" si="177"/>
        <v>81.099999999999994</v>
      </c>
      <c r="DQ32" s="123">
        <f t="shared" si="178"/>
        <v>3.596666666666668</v>
      </c>
      <c r="DR32" s="124">
        <f t="shared" si="179"/>
        <v>44.6</v>
      </c>
      <c r="DS32" s="124">
        <f t="shared" si="180"/>
        <v>4.6066666666666674</v>
      </c>
      <c r="DT32" s="124">
        <f t="shared" si="181"/>
        <v>42.8</v>
      </c>
      <c r="DU32" s="124">
        <f t="shared" si="182"/>
        <v>3.6066666666666678</v>
      </c>
      <c r="DV32" s="124">
        <f t="shared" si="183"/>
        <v>41</v>
      </c>
      <c r="DW32" s="124">
        <f t="shared" si="184"/>
        <v>3.0066666666666677</v>
      </c>
      <c r="DX32" s="124">
        <f t="shared" si="185"/>
        <v>59.6</v>
      </c>
      <c r="DY32" s="124">
        <f t="shared" si="186"/>
        <v>4.9066666666666672</v>
      </c>
      <c r="DZ32" s="124">
        <f t="shared" si="187"/>
        <v>56.8</v>
      </c>
      <c r="EA32" s="124">
        <f t="shared" si="188"/>
        <v>3.9066666666666676</v>
      </c>
      <c r="EB32" s="124">
        <f t="shared" si="189"/>
        <v>54</v>
      </c>
      <c r="EC32" s="124">
        <f t="shared" si="190"/>
        <v>3.0066666666666677</v>
      </c>
      <c r="ED32" s="124">
        <f t="shared" si="191"/>
        <v>86.7</v>
      </c>
      <c r="EE32" s="124">
        <f t="shared" si="192"/>
        <v>4.9066666666666672</v>
      </c>
      <c r="EF32" s="124">
        <f t="shared" si="193"/>
        <v>83.35</v>
      </c>
      <c r="EG32" s="124">
        <f t="shared" si="194"/>
        <v>3.806666666666668</v>
      </c>
      <c r="EH32" s="124">
        <f t="shared" si="195"/>
        <v>80</v>
      </c>
      <c r="EI32" s="124">
        <f t="shared" si="196"/>
        <v>3.0066666666666677</v>
      </c>
      <c r="EJ32" s="102">
        <f t="shared" si="143"/>
        <v>6.4352941176470564</v>
      </c>
      <c r="EK32" s="102">
        <f t="shared" si="139"/>
        <v>4.8941176470588221</v>
      </c>
      <c r="EL32" s="102">
        <f t="shared" si="139"/>
        <v>6.1352941176470566</v>
      </c>
      <c r="EM32" s="102">
        <f t="shared" si="139"/>
        <v>3.7529411764705869</v>
      </c>
      <c r="EN32" s="102">
        <f t="shared" si="139"/>
        <v>5.7941176470588216</v>
      </c>
      <c r="EO32" s="102">
        <f t="shared" si="139"/>
        <v>2.9823529411764698</v>
      </c>
      <c r="EP32" s="102">
        <f t="shared" si="144"/>
        <v>8.7454545454545478</v>
      </c>
      <c r="EQ32" s="102">
        <f t="shared" si="140"/>
        <v>5.3545454545454563</v>
      </c>
      <c r="ER32" s="102">
        <f t="shared" si="140"/>
        <v>8.4454545454545471</v>
      </c>
      <c r="ES32" s="102">
        <f t="shared" ref="ES32:ES41" si="200">(ES$42-ES$20)/22+ES31</f>
        <v>4.0909090909090917</v>
      </c>
      <c r="ET32" s="102">
        <f t="shared" ref="ET32:ET41" si="201">(ET$42-ET$20)/22+ET31</f>
        <v>7.9909090909090903</v>
      </c>
      <c r="EU32" s="102">
        <f t="shared" ref="EU32:EU41" si="202">(EU$42-EU$20)/22+EU31</f>
        <v>3.1272727272727279</v>
      </c>
      <c r="EV32" s="102">
        <f t="shared" ref="EV32:EV41" si="203">(EV$42-EV$20)/22+EV31</f>
        <v>12.145454545454536</v>
      </c>
      <c r="EW32" s="102">
        <f t="shared" ref="EW32:EW41" si="204">(EW$42-EW$20)/22+EW31</f>
        <v>5.5636363636363617</v>
      </c>
      <c r="EX32" s="102">
        <f t="shared" ref="EX32:EX41" si="205">(EX$42-EX$20)/22+EX31</f>
        <v>11.581818181818193</v>
      </c>
      <c r="EY32" s="102">
        <f t="shared" ref="EY32:EY41" si="206">(EY$42-EY$20)/22+EY31</f>
        <v>4.2363636363636337</v>
      </c>
      <c r="EZ32" s="102">
        <f t="shared" ref="EZ32:EZ41" si="207">(EZ$42-EZ$20)/22+EZ31</f>
        <v>10.818181818181809</v>
      </c>
      <c r="FA32" s="102">
        <f t="shared" ref="FA32:FA41" si="208">(FA$42-FA$20)/22+FA31</f>
        <v>3.1818181818181808</v>
      </c>
      <c r="FB32" s="102">
        <f t="shared" ref="FB32:FB41" si="209">(FB$42-FB$20)/22+FB31</f>
        <v>15.372727272727264</v>
      </c>
      <c r="FC32" s="102">
        <f t="shared" ref="FC32:FC41" si="210">(FC$42-FC$20)/22+FC31</f>
        <v>5.5636363636363617</v>
      </c>
      <c r="FD32" s="102">
        <f t="shared" ref="FD32:FD41" si="211">(FD$42-FD$20)/22+FD31</f>
        <v>14.7090909090909</v>
      </c>
      <c r="FE32" s="102">
        <f t="shared" ref="FE32:FE41" si="212">(FE$42-FE$20)/22+FE31</f>
        <v>4.2909090909090919</v>
      </c>
      <c r="FF32" s="102">
        <f t="shared" ref="FF32:FF41" si="213">(FF$42-FF$20)/22+FF31</f>
        <v>14.009090909090899</v>
      </c>
      <c r="FG32" s="102">
        <f t="shared" ref="FG32:FG41" si="214">(FG$42-FG$20)/22+FG31</f>
        <v>3.3363636363636342</v>
      </c>
      <c r="FH32" s="102">
        <f t="shared" ref="FH32:FH41" si="215">(FH$42-FH$20)/22+FH31</f>
        <v>19.454545454545439</v>
      </c>
      <c r="FI32" s="102">
        <f t="shared" ref="FI32:FI41" si="216">(FI$42-FI$20)/22+FI31</f>
        <v>5.2454545454545505</v>
      </c>
      <c r="FJ32" s="102">
        <f t="shared" ref="FJ32:FJ41" si="217">(FJ$42-FJ$20)/22+FJ31</f>
        <v>18.499999999999993</v>
      </c>
      <c r="FK32" s="102">
        <f t="shared" ref="FK32:FK41" si="218">(FK$42-FK$20)/22+FK31</f>
        <v>4.0363636363636344</v>
      </c>
      <c r="FL32" s="102">
        <f t="shared" ref="FL32:FL41" si="219">(FL$42-FL$20)/22+FL31</f>
        <v>17.436363636363641</v>
      </c>
      <c r="FM32" s="102">
        <f t="shared" ref="FM32:FM41" si="220">(FM$42-FM$20)/22+FM31</f>
        <v>3.1272727272727279</v>
      </c>
    </row>
    <row r="33" spans="1:169" s="89" customFormat="1" x14ac:dyDescent="0.25">
      <c r="A33" s="89">
        <v>1</v>
      </c>
      <c r="B33" s="120">
        <v>5.4599999999999991</v>
      </c>
      <c r="C33" s="120">
        <v>3.19</v>
      </c>
      <c r="D33" s="120">
        <v>7.47</v>
      </c>
      <c r="E33" s="120">
        <v>3.1999999999999997</v>
      </c>
      <c r="F33" s="120">
        <v>10.424285714285714</v>
      </c>
      <c r="G33" s="120">
        <v>3.2228571428571429</v>
      </c>
      <c r="H33" s="120">
        <v>12.84</v>
      </c>
      <c r="I33" s="120">
        <v>3.0400000000000005</v>
      </c>
      <c r="J33" s="120">
        <v>15.66</v>
      </c>
      <c r="K33" s="120">
        <v>3.05</v>
      </c>
      <c r="L33" s="120">
        <v>5.35</v>
      </c>
      <c r="M33" s="120">
        <v>2.75</v>
      </c>
      <c r="N33" s="120">
        <v>7.15</v>
      </c>
      <c r="O33" s="120">
        <v>2.93</v>
      </c>
      <c r="P33" s="120">
        <v>10.301428571428572</v>
      </c>
      <c r="Q33" s="120">
        <v>2.7171428571428571</v>
      </c>
      <c r="R33" s="120">
        <v>12.73</v>
      </c>
      <c r="S33" s="120">
        <v>2.63</v>
      </c>
      <c r="T33" s="120">
        <v>14.500000000000002</v>
      </c>
      <c r="U33" s="120">
        <v>2.63</v>
      </c>
      <c r="V33" s="120">
        <v>5.0599999999999996</v>
      </c>
      <c r="W33" s="120">
        <v>2.16</v>
      </c>
      <c r="X33" s="120">
        <v>6.3400000000000007</v>
      </c>
      <c r="Y33" s="120">
        <v>2.2799999999999994</v>
      </c>
      <c r="Z33" s="120">
        <v>8.6228571428571428</v>
      </c>
      <c r="AA33" s="120">
        <v>2.2871428571428574</v>
      </c>
      <c r="AB33" s="120">
        <v>11.92</v>
      </c>
      <c r="AC33" s="120">
        <v>2.1100000000000003</v>
      </c>
      <c r="AD33" s="120">
        <v>12.94</v>
      </c>
      <c r="AE33" s="120">
        <v>2.1</v>
      </c>
      <c r="AF33" s="125">
        <f t="shared" si="197"/>
        <v>38.153256704980834</v>
      </c>
      <c r="AG33" s="125">
        <f t="shared" si="146"/>
        <v>3.8533333333333353</v>
      </c>
      <c r="AH33" s="125">
        <f t="shared" si="146"/>
        <v>44.25777777777779</v>
      </c>
      <c r="AI33" s="125">
        <f t="shared" si="146"/>
        <v>3.9433333333333351</v>
      </c>
      <c r="AJ33" s="125">
        <f t="shared" si="146"/>
        <v>57.229885057471279</v>
      </c>
      <c r="AK33" s="125">
        <f t="shared" si="146"/>
        <v>3.8233333333333355</v>
      </c>
      <c r="AL33" s="125">
        <f t="shared" si="146"/>
        <v>34.808429118773958</v>
      </c>
      <c r="AM33" s="125">
        <f t="shared" si="146"/>
        <v>3.132222222222222</v>
      </c>
      <c r="AN33" s="125">
        <f t="shared" si="146"/>
        <v>40.377777777777759</v>
      </c>
      <c r="AO33" s="125">
        <f t="shared" si="146"/>
        <v>3.2222222222222219</v>
      </c>
      <c r="AP33" s="125">
        <f t="shared" si="146"/>
        <v>52.212643678160916</v>
      </c>
      <c r="AQ33" s="125">
        <f t="shared" si="146"/>
        <v>3.1022222222222222</v>
      </c>
      <c r="AR33" s="125">
        <f t="shared" si="146"/>
        <v>31.10536398467432</v>
      </c>
      <c r="AS33" s="125">
        <f t="shared" si="146"/>
        <v>2.5244444444444429</v>
      </c>
      <c r="AT33" s="125">
        <f t="shared" si="146"/>
        <v>36.082222222222221</v>
      </c>
      <c r="AU33" s="125">
        <f t="shared" si="146"/>
        <v>2.6144444444444428</v>
      </c>
      <c r="AV33" s="125">
        <f t="shared" si="146"/>
        <v>46.658045977011497</v>
      </c>
      <c r="AW33" s="125">
        <f t="shared" si="146"/>
        <v>2.4944444444444431</v>
      </c>
      <c r="AX33" s="122">
        <f t="shared" si="198"/>
        <v>5.8322222222222209</v>
      </c>
      <c r="AY33" s="122">
        <f t="shared" si="147"/>
        <v>3.8533333333333335</v>
      </c>
      <c r="AZ33" s="122">
        <f t="shared" si="147"/>
        <v>7.1966666666666699</v>
      </c>
      <c r="BA33" s="122">
        <f t="shared" si="147"/>
        <v>3.6766666666666659</v>
      </c>
      <c r="BB33" s="122">
        <f t="shared" si="147"/>
        <v>9.2544444444444469</v>
      </c>
      <c r="BC33" s="122">
        <f t="shared" si="147"/>
        <v>3.4155555555555548</v>
      </c>
      <c r="BD33" s="122">
        <f t="shared" si="147"/>
        <v>15.51444444444445</v>
      </c>
      <c r="BE33" s="122">
        <f t="shared" si="147"/>
        <v>3.8444444444444446</v>
      </c>
      <c r="BF33" s="122">
        <f t="shared" si="147"/>
        <v>5.6488888888888864</v>
      </c>
      <c r="BG33" s="122">
        <f t="shared" si="147"/>
        <v>3.2755555555555564</v>
      </c>
      <c r="BH33" s="122">
        <f t="shared" si="147"/>
        <v>7.1144444444444455</v>
      </c>
      <c r="BI33" s="122">
        <f t="shared" si="147"/>
        <v>3.0744444444444428</v>
      </c>
      <c r="BJ33" s="122">
        <f t="shared" si="147"/>
        <v>8.9722222222222232</v>
      </c>
      <c r="BK33" s="122">
        <f t="shared" si="147"/>
        <v>2.8488888888888875</v>
      </c>
      <c r="BL33" s="122">
        <f t="shared" si="147"/>
        <v>15.10333333333333</v>
      </c>
      <c r="BM33" s="122">
        <f t="shared" si="147"/>
        <v>3.1777777777777789</v>
      </c>
      <c r="BN33" s="122">
        <f t="shared" si="147"/>
        <v>5.4544444444444427</v>
      </c>
      <c r="BO33" s="122">
        <f t="shared" si="147"/>
        <v>2.7822222222222237</v>
      </c>
      <c r="BP33" s="122">
        <f t="shared" si="147"/>
        <v>6.6811111111111092</v>
      </c>
      <c r="BQ33" s="122">
        <f t="shared" si="147"/>
        <v>2.5955555555555545</v>
      </c>
      <c r="BR33" s="122">
        <f t="shared" si="147"/>
        <v>9.3699999999999974</v>
      </c>
      <c r="BS33" s="122">
        <f t="shared" si="147"/>
        <v>2.6544444444444433</v>
      </c>
      <c r="BT33" s="122">
        <f t="shared" si="147"/>
        <v>14.152222222222219</v>
      </c>
      <c r="BU33" s="122">
        <f t="shared" si="147"/>
        <v>2.6855555555555544</v>
      </c>
      <c r="BV33" s="123">
        <v>22.9</v>
      </c>
      <c r="BW33" s="123">
        <f t="shared" si="199"/>
        <v>5.4233333333333338</v>
      </c>
      <c r="BX33" s="123">
        <f t="shared" si="148"/>
        <v>23.1</v>
      </c>
      <c r="BY33" s="123">
        <f t="shared" si="148"/>
        <v>4.3233333333333341</v>
      </c>
      <c r="BZ33" s="123">
        <f t="shared" si="148"/>
        <v>23.3</v>
      </c>
      <c r="CA33" s="123">
        <f t="shared" si="148"/>
        <v>3.5533333333333346</v>
      </c>
      <c r="CB33" s="123">
        <f t="shared" si="148"/>
        <v>28.9</v>
      </c>
      <c r="CC33" s="123">
        <f t="shared" si="148"/>
        <v>5.453333333333334</v>
      </c>
      <c r="CD33" s="123">
        <f t="shared" si="148"/>
        <v>29.1</v>
      </c>
      <c r="CE33" s="123">
        <f t="shared" si="148"/>
        <v>4.3333333333333339</v>
      </c>
      <c r="CF33" s="123">
        <f t="shared" si="148"/>
        <v>29.3</v>
      </c>
      <c r="CG33" s="123">
        <f t="shared" si="148"/>
        <v>3.4833333333333347</v>
      </c>
      <c r="CH33" s="123">
        <f t="shared" si="148"/>
        <v>38.700000000000003</v>
      </c>
      <c r="CI33" s="123">
        <f t="shared" si="148"/>
        <v>5.0033333333333339</v>
      </c>
      <c r="CJ33" s="123">
        <f t="shared" si="148"/>
        <v>38.5</v>
      </c>
      <c r="CK33" s="123">
        <f t="shared" si="148"/>
        <v>4.3233333333333341</v>
      </c>
      <c r="CL33" s="123">
        <f t="shared" si="148"/>
        <v>38.799999999999997</v>
      </c>
      <c r="CM33" s="123">
        <f t="shared" si="148"/>
        <v>3.4733333333333345</v>
      </c>
      <c r="CN33" s="123">
        <f t="shared" si="149"/>
        <v>47.5</v>
      </c>
      <c r="CO33" s="123">
        <f t="shared" si="150"/>
        <v>5.3133333333333344</v>
      </c>
      <c r="CP33" s="123">
        <f t="shared" si="151"/>
        <v>47</v>
      </c>
      <c r="CQ33" s="123">
        <f t="shared" si="152"/>
        <v>4.3033333333333346</v>
      </c>
      <c r="CR33" s="123">
        <f t="shared" si="153"/>
        <v>47.7</v>
      </c>
      <c r="CS33" s="123">
        <f t="shared" si="154"/>
        <v>3.5733333333333346</v>
      </c>
      <c r="CT33" s="123">
        <f t="shared" si="155"/>
        <v>54.9</v>
      </c>
      <c r="CU33" s="123">
        <f t="shared" si="156"/>
        <v>5.3133333333333344</v>
      </c>
      <c r="CV33" s="123">
        <f t="shared" si="157"/>
        <v>56.2</v>
      </c>
      <c r="CW33" s="123">
        <f t="shared" si="158"/>
        <v>4.3033333333333346</v>
      </c>
      <c r="CX33" s="123">
        <f t="shared" si="159"/>
        <v>57.2</v>
      </c>
      <c r="CY33" s="123">
        <f t="shared" si="160"/>
        <v>3.5733333333333346</v>
      </c>
      <c r="CZ33" s="123">
        <f t="shared" si="161"/>
        <v>64</v>
      </c>
      <c r="DA33" s="123">
        <f t="shared" si="162"/>
        <v>5.3633333333333342</v>
      </c>
      <c r="DB33" s="123">
        <f t="shared" si="163"/>
        <v>64.7</v>
      </c>
      <c r="DC33" s="123">
        <f t="shared" si="164"/>
        <v>4.2833333333333341</v>
      </c>
      <c r="DD33" s="123">
        <f t="shared" si="165"/>
        <v>64</v>
      </c>
      <c r="DE33" s="123">
        <f t="shared" si="166"/>
        <v>3.3733333333333344</v>
      </c>
      <c r="DF33" s="123">
        <f t="shared" si="167"/>
        <v>72.8</v>
      </c>
      <c r="DG33" s="123">
        <f t="shared" si="168"/>
        <v>5.123333333333334</v>
      </c>
      <c r="DH33" s="123">
        <f t="shared" si="169"/>
        <v>74.099999999999994</v>
      </c>
      <c r="DI33" s="123">
        <f t="shared" si="170"/>
        <v>4.163333333333334</v>
      </c>
      <c r="DJ33" s="123">
        <f t="shared" si="171"/>
        <v>73.900000000000006</v>
      </c>
      <c r="DK33" s="123">
        <f t="shared" si="172"/>
        <v>3.4533333333333345</v>
      </c>
      <c r="DL33" s="123">
        <f t="shared" si="173"/>
        <v>78.3</v>
      </c>
      <c r="DM33" s="123">
        <f t="shared" si="174"/>
        <v>5.1733333333333338</v>
      </c>
      <c r="DN33" s="123">
        <f t="shared" si="175"/>
        <v>80.3</v>
      </c>
      <c r="DO33" s="123">
        <f t="shared" si="176"/>
        <v>4.2733333333333343</v>
      </c>
      <c r="DP33" s="123">
        <f t="shared" si="177"/>
        <v>81.099999999999994</v>
      </c>
      <c r="DQ33" s="123">
        <f t="shared" si="178"/>
        <v>3.6033333333333348</v>
      </c>
      <c r="DR33" s="124">
        <f t="shared" si="179"/>
        <v>44.6</v>
      </c>
      <c r="DS33" s="124">
        <f t="shared" si="180"/>
        <v>4.6133333333333342</v>
      </c>
      <c r="DT33" s="124">
        <f t="shared" si="181"/>
        <v>42.8</v>
      </c>
      <c r="DU33" s="124">
        <f t="shared" si="182"/>
        <v>3.6133333333333346</v>
      </c>
      <c r="DV33" s="124">
        <f t="shared" si="183"/>
        <v>41</v>
      </c>
      <c r="DW33" s="124">
        <f t="shared" si="184"/>
        <v>3.0133333333333345</v>
      </c>
      <c r="DX33" s="124">
        <f t="shared" si="185"/>
        <v>59.6</v>
      </c>
      <c r="DY33" s="124">
        <f t="shared" si="186"/>
        <v>4.913333333333334</v>
      </c>
      <c r="DZ33" s="124">
        <f t="shared" si="187"/>
        <v>56.8</v>
      </c>
      <c r="EA33" s="124">
        <f t="shared" si="188"/>
        <v>3.9133333333333344</v>
      </c>
      <c r="EB33" s="124">
        <f t="shared" si="189"/>
        <v>54</v>
      </c>
      <c r="EC33" s="124">
        <f t="shared" si="190"/>
        <v>3.0133333333333345</v>
      </c>
      <c r="ED33" s="124">
        <f t="shared" si="191"/>
        <v>86.7</v>
      </c>
      <c r="EE33" s="124">
        <f t="shared" si="192"/>
        <v>4.913333333333334</v>
      </c>
      <c r="EF33" s="124">
        <f t="shared" si="193"/>
        <v>83.35</v>
      </c>
      <c r="EG33" s="124">
        <f t="shared" si="194"/>
        <v>3.8133333333333348</v>
      </c>
      <c r="EH33" s="124">
        <f t="shared" si="195"/>
        <v>80</v>
      </c>
      <c r="EI33" s="124">
        <f t="shared" si="196"/>
        <v>3.0133333333333345</v>
      </c>
      <c r="EJ33" s="102">
        <f t="shared" si="143"/>
        <v>6.4882352941176444</v>
      </c>
      <c r="EK33" s="102">
        <f t="shared" si="139"/>
        <v>4.9352941176470573</v>
      </c>
      <c r="EL33" s="102">
        <f t="shared" si="139"/>
        <v>6.1882352941176446</v>
      </c>
      <c r="EM33" s="102">
        <f t="shared" si="139"/>
        <v>3.7823529411764691</v>
      </c>
      <c r="EN33" s="102">
        <f t="shared" si="139"/>
        <v>5.8352941176470567</v>
      </c>
      <c r="EO33" s="102">
        <f t="shared" si="139"/>
        <v>3.0058823529411756</v>
      </c>
      <c r="EP33" s="102">
        <f t="shared" si="144"/>
        <v>8.8409090909090935</v>
      </c>
      <c r="EQ33" s="102">
        <f t="shared" ref="EQ33:EQ41" si="221">(EQ$42-EQ$20)/22+EQ32</f>
        <v>5.4090909090909109</v>
      </c>
      <c r="ER33" s="102">
        <f t="shared" ref="ER33:ER41" si="222">(ER$42-ER$20)/22+ER32</f>
        <v>8.5409090909090928</v>
      </c>
      <c r="ES33" s="102">
        <f t="shared" si="200"/>
        <v>4.1318181818181827</v>
      </c>
      <c r="ET33" s="102">
        <f t="shared" si="201"/>
        <v>8.081818181818182</v>
      </c>
      <c r="EU33" s="102">
        <f t="shared" si="202"/>
        <v>3.1545454545454552</v>
      </c>
      <c r="EV33" s="102">
        <f t="shared" si="203"/>
        <v>12.29090909090908</v>
      </c>
      <c r="EW33" s="102">
        <f t="shared" si="204"/>
        <v>5.6272727272727252</v>
      </c>
      <c r="EX33" s="102">
        <f t="shared" si="205"/>
        <v>11.713636363636375</v>
      </c>
      <c r="EY33" s="102">
        <f t="shared" si="206"/>
        <v>4.2727272727272698</v>
      </c>
      <c r="EZ33" s="102">
        <f t="shared" si="207"/>
        <v>10.936363636363627</v>
      </c>
      <c r="FA33" s="102">
        <f t="shared" si="208"/>
        <v>3.2136363636363625</v>
      </c>
      <c r="FB33" s="102">
        <f t="shared" si="209"/>
        <v>15.545454545454536</v>
      </c>
      <c r="FC33" s="102">
        <f t="shared" si="210"/>
        <v>5.6272727272727252</v>
      </c>
      <c r="FD33" s="102">
        <f t="shared" si="211"/>
        <v>14.868181818181808</v>
      </c>
      <c r="FE33" s="102">
        <f t="shared" si="212"/>
        <v>4.3318181818181829</v>
      </c>
      <c r="FF33" s="102">
        <f t="shared" si="213"/>
        <v>14.168181818181807</v>
      </c>
      <c r="FG33" s="102">
        <f t="shared" si="214"/>
        <v>3.3727272727272704</v>
      </c>
      <c r="FH33" s="102">
        <f t="shared" si="215"/>
        <v>19.659090909090892</v>
      </c>
      <c r="FI33" s="102">
        <f t="shared" si="216"/>
        <v>5.2909090909090963</v>
      </c>
      <c r="FJ33" s="102">
        <f t="shared" si="217"/>
        <v>18.699999999999992</v>
      </c>
      <c r="FK33" s="102">
        <f t="shared" si="218"/>
        <v>4.0727272727272705</v>
      </c>
      <c r="FL33" s="102">
        <f t="shared" si="219"/>
        <v>17.622727272727278</v>
      </c>
      <c r="FM33" s="102">
        <f t="shared" si="220"/>
        <v>3.1545454545454552</v>
      </c>
    </row>
    <row r="34" spans="1:169" s="89" customFormat="1" x14ac:dyDescent="0.25">
      <c r="A34" s="89">
        <v>2</v>
      </c>
      <c r="B34" s="120">
        <v>5.5787499999999994</v>
      </c>
      <c r="C34" s="120">
        <v>3.2374999999999998</v>
      </c>
      <c r="D34" s="120">
        <v>7.6325000000000003</v>
      </c>
      <c r="E34" s="120">
        <v>3.2474999999999996</v>
      </c>
      <c r="F34" s="120">
        <v>10.673571428571428</v>
      </c>
      <c r="G34" s="120">
        <v>3.2607142857142857</v>
      </c>
      <c r="H34" s="120">
        <v>13.120000000000001</v>
      </c>
      <c r="I34" s="120">
        <v>3.0850000000000004</v>
      </c>
      <c r="J34" s="120">
        <v>16.001249999999999</v>
      </c>
      <c r="K34" s="120">
        <v>3.0949999999999998</v>
      </c>
      <c r="L34" s="120">
        <v>5.4662499999999996</v>
      </c>
      <c r="M34" s="120">
        <v>2.7912499999999998</v>
      </c>
      <c r="N34" s="120">
        <v>7.3062500000000004</v>
      </c>
      <c r="O34" s="120">
        <v>2.9737499999999999</v>
      </c>
      <c r="P34" s="120">
        <v>10.547857142857143</v>
      </c>
      <c r="Q34" s="120">
        <v>2.7492857142857146</v>
      </c>
      <c r="R34" s="120">
        <v>13.0075</v>
      </c>
      <c r="S34" s="120">
        <v>2.6687500000000002</v>
      </c>
      <c r="T34" s="120">
        <v>14.816250000000002</v>
      </c>
      <c r="U34" s="120">
        <v>2.6687500000000002</v>
      </c>
      <c r="V34" s="120">
        <v>5.17</v>
      </c>
      <c r="W34" s="120">
        <v>2.1924999999999999</v>
      </c>
      <c r="X34" s="120">
        <v>6.4787500000000007</v>
      </c>
      <c r="Y34" s="120">
        <v>2.3137499999999998</v>
      </c>
      <c r="Z34" s="120">
        <v>8.8357142857142854</v>
      </c>
      <c r="AA34" s="120">
        <v>2.3142857142857145</v>
      </c>
      <c r="AB34" s="120">
        <v>12.18</v>
      </c>
      <c r="AC34" s="120">
        <v>2.1412500000000003</v>
      </c>
      <c r="AD34" s="120">
        <v>13.2225</v>
      </c>
      <c r="AE34" s="120">
        <v>2.1312500000000001</v>
      </c>
      <c r="AF34" s="125">
        <v>38.672413793103452</v>
      </c>
      <c r="AG34" s="125">
        <v>3.9400000000000004</v>
      </c>
      <c r="AH34" s="125">
        <v>44.86</v>
      </c>
      <c r="AI34" s="125">
        <v>4.03</v>
      </c>
      <c r="AJ34" s="125">
        <v>58.008620689655174</v>
      </c>
      <c r="AK34" s="125">
        <v>3.9100000000000006</v>
      </c>
      <c r="AL34" s="125">
        <v>35.344827586206897</v>
      </c>
      <c r="AM34" s="125">
        <v>3.2</v>
      </c>
      <c r="AN34" s="125">
        <v>41</v>
      </c>
      <c r="AO34" s="125">
        <v>3.29</v>
      </c>
      <c r="AP34" s="125">
        <v>53.017241379310349</v>
      </c>
      <c r="AQ34" s="125">
        <v>3.1700000000000004</v>
      </c>
      <c r="AR34" s="125">
        <v>31.655172413793103</v>
      </c>
      <c r="AS34" s="125">
        <v>2.58</v>
      </c>
      <c r="AT34" s="125">
        <v>36.72</v>
      </c>
      <c r="AU34" s="125">
        <v>2.67</v>
      </c>
      <c r="AV34" s="125">
        <v>47.482758620689651</v>
      </c>
      <c r="AW34" s="125">
        <v>2.5500000000000003</v>
      </c>
      <c r="AX34" s="122">
        <v>6.03</v>
      </c>
      <c r="AY34" s="122">
        <v>3.97</v>
      </c>
      <c r="AZ34" s="122">
        <v>7.37</v>
      </c>
      <c r="BA34" s="122">
        <v>3.75</v>
      </c>
      <c r="BB34" s="122">
        <v>9.6</v>
      </c>
      <c r="BC34" s="122">
        <v>3.52</v>
      </c>
      <c r="BD34" s="122">
        <v>15.86</v>
      </c>
      <c r="BE34" s="122">
        <v>3.91</v>
      </c>
      <c r="BF34" s="122">
        <v>5.84</v>
      </c>
      <c r="BG34" s="122">
        <v>3.37</v>
      </c>
      <c r="BH34" s="122">
        <v>7.28</v>
      </c>
      <c r="BI34" s="122">
        <v>3.13</v>
      </c>
      <c r="BJ34" s="122">
        <v>9.2799999999999994</v>
      </c>
      <c r="BK34" s="122">
        <v>2.93</v>
      </c>
      <c r="BL34" s="122">
        <v>15.43</v>
      </c>
      <c r="BM34" s="122">
        <v>3.23</v>
      </c>
      <c r="BN34" s="122">
        <v>5.64</v>
      </c>
      <c r="BO34" s="122">
        <v>2.86</v>
      </c>
      <c r="BP34" s="122">
        <v>6.81</v>
      </c>
      <c r="BQ34" s="122">
        <v>2.64</v>
      </c>
      <c r="BR34" s="122">
        <v>9.74</v>
      </c>
      <c r="BS34" s="122">
        <v>2.75</v>
      </c>
      <c r="BT34" s="122">
        <v>14.4</v>
      </c>
      <c r="BU34" s="122">
        <v>2.73</v>
      </c>
      <c r="BV34" s="123">
        <v>22.9</v>
      </c>
      <c r="BW34" s="123">
        <v>5.4299999999999988</v>
      </c>
      <c r="BX34" s="123">
        <v>23.1</v>
      </c>
      <c r="BY34" s="123">
        <v>4.3299999999999992</v>
      </c>
      <c r="BZ34" s="123">
        <v>23.3</v>
      </c>
      <c r="CA34" s="123">
        <v>3.56</v>
      </c>
      <c r="CB34" s="123">
        <v>28.9</v>
      </c>
      <c r="CC34" s="123">
        <v>5.4599999999999991</v>
      </c>
      <c r="CD34" s="123">
        <v>29.1</v>
      </c>
      <c r="CE34" s="123">
        <v>4.339999999999999</v>
      </c>
      <c r="CF34" s="123">
        <v>29.3</v>
      </c>
      <c r="CG34" s="123">
        <v>3.49</v>
      </c>
      <c r="CH34" s="123">
        <v>38.700000000000003</v>
      </c>
      <c r="CI34" s="123">
        <v>5.0099999999999989</v>
      </c>
      <c r="CJ34" s="123">
        <v>38.5</v>
      </c>
      <c r="CK34" s="123">
        <v>4.3299999999999992</v>
      </c>
      <c r="CL34" s="123">
        <v>38.799999999999997</v>
      </c>
      <c r="CM34" s="123">
        <v>3.48</v>
      </c>
      <c r="CN34" s="123">
        <v>47.5</v>
      </c>
      <c r="CO34" s="123">
        <v>5.3199999999999994</v>
      </c>
      <c r="CP34" s="123">
        <v>47</v>
      </c>
      <c r="CQ34" s="123">
        <v>4.3099999999999996</v>
      </c>
      <c r="CR34" s="123">
        <v>47.7</v>
      </c>
      <c r="CS34" s="123">
        <v>3.58</v>
      </c>
      <c r="CT34" s="123">
        <v>54.9</v>
      </c>
      <c r="CU34" s="123">
        <v>5.3199999999999994</v>
      </c>
      <c r="CV34" s="123">
        <v>56.2</v>
      </c>
      <c r="CW34" s="123">
        <v>4.3099999999999996</v>
      </c>
      <c r="CX34" s="123">
        <v>57.2</v>
      </c>
      <c r="CY34" s="123">
        <v>3.58</v>
      </c>
      <c r="CZ34" s="123">
        <v>64</v>
      </c>
      <c r="DA34" s="123">
        <v>5.3699999999999992</v>
      </c>
      <c r="DB34" s="123">
        <v>64.7</v>
      </c>
      <c r="DC34" s="123">
        <v>4.2899999999999991</v>
      </c>
      <c r="DD34" s="123">
        <v>64</v>
      </c>
      <c r="DE34" s="123">
        <v>3.38</v>
      </c>
      <c r="DF34" s="123">
        <v>72.8</v>
      </c>
      <c r="DG34" s="123">
        <v>5.129999999999999</v>
      </c>
      <c r="DH34" s="123">
        <v>74.099999999999994</v>
      </c>
      <c r="DI34" s="123">
        <v>4.169999999999999</v>
      </c>
      <c r="DJ34" s="123">
        <v>73.900000000000006</v>
      </c>
      <c r="DK34" s="123">
        <v>3.46</v>
      </c>
      <c r="DL34" s="123">
        <v>78.3</v>
      </c>
      <c r="DM34" s="123">
        <v>5.1799999999999988</v>
      </c>
      <c r="DN34" s="123">
        <v>80.3</v>
      </c>
      <c r="DO34" s="123">
        <v>4.2799999999999994</v>
      </c>
      <c r="DP34" s="123">
        <v>81.099999999999994</v>
      </c>
      <c r="DQ34" s="123">
        <v>3.6100000000000003</v>
      </c>
      <c r="DR34" s="124">
        <v>44.6</v>
      </c>
      <c r="DS34" s="124">
        <v>4.6199999999999992</v>
      </c>
      <c r="DT34" s="124">
        <v>42.8</v>
      </c>
      <c r="DU34" s="124">
        <v>3.62</v>
      </c>
      <c r="DV34" s="124">
        <v>41</v>
      </c>
      <c r="DW34" s="124">
        <v>3.02</v>
      </c>
      <c r="DX34" s="124">
        <v>59.6</v>
      </c>
      <c r="DY34" s="124">
        <v>4.919999999999999</v>
      </c>
      <c r="DZ34" s="124">
        <v>56.8</v>
      </c>
      <c r="EA34" s="124">
        <v>3.92</v>
      </c>
      <c r="EB34" s="124">
        <v>54</v>
      </c>
      <c r="EC34" s="124">
        <v>3.02</v>
      </c>
      <c r="ED34" s="124">
        <v>86.7</v>
      </c>
      <c r="EE34" s="124">
        <v>4.919999999999999</v>
      </c>
      <c r="EF34" s="124">
        <v>83.35</v>
      </c>
      <c r="EG34" s="124">
        <v>3.8200000000000003</v>
      </c>
      <c r="EH34" s="124">
        <v>80</v>
      </c>
      <c r="EI34" s="124">
        <v>3.02</v>
      </c>
      <c r="EJ34" s="102">
        <f t="shared" si="143"/>
        <v>6.5411764705882325</v>
      </c>
      <c r="EK34" s="102">
        <f t="shared" si="139"/>
        <v>4.9764705882352924</v>
      </c>
      <c r="EL34" s="102">
        <f t="shared" si="139"/>
        <v>6.2411764705882327</v>
      </c>
      <c r="EM34" s="102">
        <f t="shared" si="139"/>
        <v>3.8117647058823514</v>
      </c>
      <c r="EN34" s="102">
        <f t="shared" si="139"/>
        <v>5.8764705882352919</v>
      </c>
      <c r="EO34" s="102">
        <f t="shared" si="139"/>
        <v>3.0294117647058814</v>
      </c>
      <c r="EP34" s="102">
        <f t="shared" si="144"/>
        <v>8.9363636363636392</v>
      </c>
      <c r="EQ34" s="102">
        <f t="shared" si="221"/>
        <v>5.4636363636363656</v>
      </c>
      <c r="ER34" s="102">
        <f t="shared" si="222"/>
        <v>8.6363636363636385</v>
      </c>
      <c r="ES34" s="102">
        <f t="shared" si="200"/>
        <v>4.1727272727272737</v>
      </c>
      <c r="ET34" s="102">
        <f t="shared" si="201"/>
        <v>8.1727272727272737</v>
      </c>
      <c r="EU34" s="102">
        <f t="shared" si="202"/>
        <v>3.1818181818181825</v>
      </c>
      <c r="EV34" s="102">
        <f t="shared" si="203"/>
        <v>12.436363636363625</v>
      </c>
      <c r="EW34" s="102">
        <f t="shared" si="204"/>
        <v>5.6909090909090887</v>
      </c>
      <c r="EX34" s="102">
        <f t="shared" si="205"/>
        <v>11.845454545454558</v>
      </c>
      <c r="EY34" s="102">
        <f t="shared" si="206"/>
        <v>4.309090909090906</v>
      </c>
      <c r="EZ34" s="102">
        <f t="shared" si="207"/>
        <v>11.054545454545444</v>
      </c>
      <c r="FA34" s="102">
        <f t="shared" si="208"/>
        <v>3.2454545454545443</v>
      </c>
      <c r="FB34" s="102">
        <f t="shared" si="209"/>
        <v>15.718181818181808</v>
      </c>
      <c r="FC34" s="102">
        <f t="shared" si="210"/>
        <v>5.6909090909090887</v>
      </c>
      <c r="FD34" s="102">
        <f t="shared" si="211"/>
        <v>15.027272727272717</v>
      </c>
      <c r="FE34" s="102">
        <f t="shared" si="212"/>
        <v>4.3727272727272739</v>
      </c>
      <c r="FF34" s="102">
        <f t="shared" si="213"/>
        <v>14.327272727272716</v>
      </c>
      <c r="FG34" s="102">
        <f t="shared" si="214"/>
        <v>3.4090909090909065</v>
      </c>
      <c r="FH34" s="102">
        <f t="shared" si="215"/>
        <v>19.863636363636346</v>
      </c>
      <c r="FI34" s="102">
        <f t="shared" si="216"/>
        <v>5.3363636363636422</v>
      </c>
      <c r="FJ34" s="102">
        <f t="shared" si="217"/>
        <v>18.899999999999991</v>
      </c>
      <c r="FK34" s="102">
        <f t="shared" si="218"/>
        <v>4.1090909090909067</v>
      </c>
      <c r="FL34" s="102">
        <f t="shared" si="219"/>
        <v>17.809090909090916</v>
      </c>
      <c r="FM34" s="102">
        <f t="shared" si="220"/>
        <v>3.1818181818181825</v>
      </c>
    </row>
    <row r="35" spans="1:169" s="89" customFormat="1" x14ac:dyDescent="0.25">
      <c r="A35" s="89">
        <v>3</v>
      </c>
      <c r="B35" s="120">
        <v>5.6974999999999998</v>
      </c>
      <c r="C35" s="120">
        <v>3.2850000000000001</v>
      </c>
      <c r="D35" s="120">
        <v>7.7949999999999999</v>
      </c>
      <c r="E35" s="120">
        <v>3.2949999999999999</v>
      </c>
      <c r="F35" s="120">
        <v>10.922857142857143</v>
      </c>
      <c r="G35" s="120">
        <v>3.2985714285714285</v>
      </c>
      <c r="H35" s="120">
        <v>13.4</v>
      </c>
      <c r="I35" s="120">
        <v>3.1300000000000008</v>
      </c>
      <c r="J35" s="120">
        <v>16.342500000000001</v>
      </c>
      <c r="K35" s="120">
        <v>3.1399999999999997</v>
      </c>
      <c r="L35" s="120">
        <v>5.5824999999999996</v>
      </c>
      <c r="M35" s="120">
        <v>2.8325</v>
      </c>
      <c r="N35" s="120">
        <v>7.4625000000000004</v>
      </c>
      <c r="O35" s="120">
        <v>3.0175000000000001</v>
      </c>
      <c r="P35" s="120">
        <v>10.794285714285714</v>
      </c>
      <c r="Q35" s="120">
        <v>2.7814285714285716</v>
      </c>
      <c r="R35" s="120">
        <v>13.285</v>
      </c>
      <c r="S35" s="120">
        <v>2.7075</v>
      </c>
      <c r="T35" s="120">
        <v>15.132500000000002</v>
      </c>
      <c r="U35" s="120">
        <v>2.7075</v>
      </c>
      <c r="V35" s="120">
        <v>5.2799999999999994</v>
      </c>
      <c r="W35" s="120">
        <v>2.2249999999999996</v>
      </c>
      <c r="X35" s="120">
        <v>6.6175000000000006</v>
      </c>
      <c r="Y35" s="120">
        <v>2.3474999999999993</v>
      </c>
      <c r="Z35" s="120">
        <v>9.048571428571428</v>
      </c>
      <c r="AA35" s="120">
        <v>2.3414285714285716</v>
      </c>
      <c r="AB35" s="120">
        <v>12.44</v>
      </c>
      <c r="AC35" s="120">
        <v>2.1725000000000003</v>
      </c>
      <c r="AD35" s="120">
        <v>13.504999999999999</v>
      </c>
      <c r="AE35" s="120">
        <v>2.1625000000000001</v>
      </c>
      <c r="AF35" s="125">
        <f>(AF$39-AF$34)/5+AF34</f>
        <v>39.886206896551727</v>
      </c>
      <c r="AG35" s="125">
        <f t="shared" ref="AG35:AW35" si="223">(AG$39-AG$34)/5+AG34</f>
        <v>4.0780000000000003</v>
      </c>
      <c r="AH35" s="125">
        <f t="shared" si="223"/>
        <v>46.268000000000001</v>
      </c>
      <c r="AI35" s="125">
        <f t="shared" si="223"/>
        <v>4.1680000000000001</v>
      </c>
      <c r="AJ35" s="125">
        <f t="shared" si="223"/>
        <v>59.82931034482759</v>
      </c>
      <c r="AK35" s="125">
        <f t="shared" si="223"/>
        <v>4.048</v>
      </c>
      <c r="AL35" s="125">
        <f t="shared" si="223"/>
        <v>36.444827586206898</v>
      </c>
      <c r="AM35" s="125">
        <f t="shared" si="223"/>
        <v>3.3000000000000003</v>
      </c>
      <c r="AN35" s="125">
        <f t="shared" si="223"/>
        <v>42.276000000000003</v>
      </c>
      <c r="AO35" s="125">
        <f t="shared" si="223"/>
        <v>3.39</v>
      </c>
      <c r="AP35" s="125">
        <f t="shared" si="223"/>
        <v>54.667241379310347</v>
      </c>
      <c r="AQ35" s="125">
        <f t="shared" si="223"/>
        <v>3.2700000000000005</v>
      </c>
      <c r="AR35" s="125">
        <f t="shared" si="223"/>
        <v>32.689655172413794</v>
      </c>
      <c r="AS35" s="125">
        <f t="shared" si="223"/>
        <v>2.6520000000000001</v>
      </c>
      <c r="AT35" s="125">
        <f t="shared" si="223"/>
        <v>37.92</v>
      </c>
      <c r="AU35" s="125">
        <f t="shared" si="223"/>
        <v>2.742</v>
      </c>
      <c r="AV35" s="125">
        <f t="shared" si="223"/>
        <v>49.034482758620683</v>
      </c>
      <c r="AW35" s="125">
        <f t="shared" si="223"/>
        <v>2.6220000000000003</v>
      </c>
      <c r="AX35" s="122">
        <f>(AX$39-AX$34)/5+AX34</f>
        <v>6.23</v>
      </c>
      <c r="AY35" s="122">
        <f t="shared" ref="AY35:BU35" si="224">(AY$39-AY$34)/5+AY34</f>
        <v>4.07</v>
      </c>
      <c r="AZ35" s="122">
        <f t="shared" si="224"/>
        <v>7.532</v>
      </c>
      <c r="BA35" s="122">
        <f t="shared" si="224"/>
        <v>3.8420000000000001</v>
      </c>
      <c r="BB35" s="122">
        <f t="shared" si="224"/>
        <v>9.8879999999999999</v>
      </c>
      <c r="BC35" s="122">
        <f t="shared" si="224"/>
        <v>3.6080000000000001</v>
      </c>
      <c r="BD35" s="122">
        <f t="shared" si="224"/>
        <v>16.175999999999998</v>
      </c>
      <c r="BE35" s="122">
        <f t="shared" si="224"/>
        <v>3.992</v>
      </c>
      <c r="BF35" s="122">
        <f t="shared" si="224"/>
        <v>6.0039999999999996</v>
      </c>
      <c r="BG35" s="122">
        <f t="shared" si="224"/>
        <v>3.4460000000000002</v>
      </c>
      <c r="BH35" s="122">
        <f t="shared" si="224"/>
        <v>7.4119999999999999</v>
      </c>
      <c r="BI35" s="122">
        <f t="shared" si="224"/>
        <v>3.1999999999999997</v>
      </c>
      <c r="BJ35" s="122">
        <f t="shared" si="224"/>
        <v>9.5640000000000001</v>
      </c>
      <c r="BK35" s="122">
        <f t="shared" si="224"/>
        <v>3.0060000000000002</v>
      </c>
      <c r="BL35" s="122">
        <f t="shared" si="224"/>
        <v>15.67</v>
      </c>
      <c r="BM35" s="122">
        <f t="shared" si="224"/>
        <v>3.3</v>
      </c>
      <c r="BN35" s="122">
        <f t="shared" si="224"/>
        <v>5.7959999999999994</v>
      </c>
      <c r="BO35" s="122">
        <f t="shared" si="224"/>
        <v>2.92</v>
      </c>
      <c r="BP35" s="122">
        <f t="shared" si="224"/>
        <v>6.952</v>
      </c>
      <c r="BQ35" s="122">
        <f t="shared" si="224"/>
        <v>2.6920000000000002</v>
      </c>
      <c r="BR35" s="122">
        <f t="shared" si="224"/>
        <v>9.74</v>
      </c>
      <c r="BS35" s="122">
        <f t="shared" si="224"/>
        <v>2.75</v>
      </c>
      <c r="BT35" s="122">
        <f t="shared" si="224"/>
        <v>14.641999999999999</v>
      </c>
      <c r="BU35" s="122">
        <f t="shared" si="224"/>
        <v>2.7839999999999998</v>
      </c>
      <c r="BV35" s="123">
        <v>22.9</v>
      </c>
      <c r="BW35" s="123">
        <f>(BW$39-BW$34)/5+BW34</f>
        <v>5.4419999999999984</v>
      </c>
      <c r="BX35" s="123">
        <f t="shared" ref="BX35:CO38" si="225">(BX$39-BX$34)/5+BX34</f>
        <v>23.1</v>
      </c>
      <c r="BY35" s="123">
        <f t="shared" si="225"/>
        <v>4.3419999999999987</v>
      </c>
      <c r="BZ35" s="123">
        <f t="shared" si="225"/>
        <v>23.3</v>
      </c>
      <c r="CA35" s="123">
        <f t="shared" si="225"/>
        <v>3.5720000000000001</v>
      </c>
      <c r="CB35" s="123">
        <f t="shared" si="225"/>
        <v>28.9</v>
      </c>
      <c r="CC35" s="123">
        <f t="shared" si="225"/>
        <v>5.4719999999999986</v>
      </c>
      <c r="CD35" s="123">
        <f t="shared" si="225"/>
        <v>29.1</v>
      </c>
      <c r="CE35" s="123">
        <f t="shared" si="225"/>
        <v>4.3519999999999985</v>
      </c>
      <c r="CF35" s="123">
        <f t="shared" si="225"/>
        <v>29.3</v>
      </c>
      <c r="CG35" s="123">
        <f t="shared" si="225"/>
        <v>3.5020000000000002</v>
      </c>
      <c r="CH35" s="123">
        <f t="shared" si="225"/>
        <v>38.700000000000003</v>
      </c>
      <c r="CI35" s="123">
        <f t="shared" si="225"/>
        <v>5.0219999999999985</v>
      </c>
      <c r="CJ35" s="123">
        <f t="shared" si="225"/>
        <v>38.5</v>
      </c>
      <c r="CK35" s="123">
        <f t="shared" si="225"/>
        <v>4.3419999999999987</v>
      </c>
      <c r="CL35" s="123">
        <f t="shared" si="225"/>
        <v>38.799999999999997</v>
      </c>
      <c r="CM35" s="123">
        <f t="shared" si="225"/>
        <v>3.492</v>
      </c>
      <c r="CN35" s="123">
        <f t="shared" si="225"/>
        <v>47.5</v>
      </c>
      <c r="CO35" s="123">
        <f t="shared" si="225"/>
        <v>5.331999999999999</v>
      </c>
      <c r="CP35" s="123">
        <f t="shared" ref="CP35:CP38" si="226">(CP$39-CP$34)/5+CP34</f>
        <v>47</v>
      </c>
      <c r="CQ35" s="123">
        <f t="shared" ref="CQ35:CQ38" si="227">(CQ$39-CQ$34)/5+CQ34</f>
        <v>4.3219999999999992</v>
      </c>
      <c r="CR35" s="123">
        <f t="shared" ref="CR35:CR38" si="228">(CR$39-CR$34)/5+CR34</f>
        <v>47.7</v>
      </c>
      <c r="CS35" s="123">
        <f t="shared" ref="CS35:CS38" si="229">(CS$39-CS$34)/5+CS34</f>
        <v>3.5920000000000001</v>
      </c>
      <c r="CT35" s="123">
        <f t="shared" ref="CT35:CT38" si="230">(CT$39-CT$34)/5+CT34</f>
        <v>54.9</v>
      </c>
      <c r="CU35" s="123">
        <f t="shared" ref="CU35:CU38" si="231">(CU$39-CU$34)/5+CU34</f>
        <v>5.331999999999999</v>
      </c>
      <c r="CV35" s="123">
        <f t="shared" ref="CV35:CV38" si="232">(CV$39-CV$34)/5+CV34</f>
        <v>56.2</v>
      </c>
      <c r="CW35" s="123">
        <f t="shared" ref="CW35:CW38" si="233">(CW$39-CW$34)/5+CW34</f>
        <v>4.3219999999999992</v>
      </c>
      <c r="CX35" s="123">
        <f t="shared" ref="CX35:CX38" si="234">(CX$39-CX$34)/5+CX34</f>
        <v>57.2</v>
      </c>
      <c r="CY35" s="123">
        <f t="shared" ref="CY35:CY38" si="235">(CY$39-CY$34)/5+CY34</f>
        <v>3.5920000000000001</v>
      </c>
      <c r="CZ35" s="123">
        <f t="shared" ref="CZ35:CZ38" si="236">(CZ$39-CZ$34)/5+CZ34</f>
        <v>64</v>
      </c>
      <c r="DA35" s="123">
        <f t="shared" ref="DA35:DA38" si="237">(DA$39-DA$34)/5+DA34</f>
        <v>5.3819999999999988</v>
      </c>
      <c r="DB35" s="123">
        <f t="shared" ref="DB35:DB38" si="238">(DB$39-DB$34)/5+DB34</f>
        <v>64.7</v>
      </c>
      <c r="DC35" s="123">
        <f t="shared" ref="DC35:DC38" si="239">(DC$39-DC$34)/5+DC34</f>
        <v>4.3019999999999987</v>
      </c>
      <c r="DD35" s="123">
        <f t="shared" ref="DD35:DD38" si="240">(DD$39-DD$34)/5+DD34</f>
        <v>64</v>
      </c>
      <c r="DE35" s="123">
        <f t="shared" ref="DE35:DE38" si="241">(DE$39-DE$34)/5+DE34</f>
        <v>3.3919999999999999</v>
      </c>
      <c r="DF35" s="123">
        <f t="shared" ref="DF35:DF38" si="242">(DF$39-DF$34)/5+DF34</f>
        <v>72.8</v>
      </c>
      <c r="DG35" s="123">
        <f t="shared" ref="DG35:DG38" si="243">(DG$39-DG$34)/5+DG34</f>
        <v>5.1419999999999986</v>
      </c>
      <c r="DH35" s="123">
        <f t="shared" ref="DH35:DH38" si="244">(DH$39-DH$34)/5+DH34</f>
        <v>74.099999999999994</v>
      </c>
      <c r="DI35" s="123">
        <f t="shared" ref="DI35:DI38" si="245">(DI$39-DI$34)/5+DI34</f>
        <v>4.1819999999999986</v>
      </c>
      <c r="DJ35" s="123">
        <f t="shared" ref="DJ35:DJ38" si="246">(DJ$39-DJ$34)/5+DJ34</f>
        <v>73.900000000000006</v>
      </c>
      <c r="DK35" s="123">
        <f t="shared" ref="DK35:DK38" si="247">(DK$39-DK$34)/5+DK34</f>
        <v>3.472</v>
      </c>
      <c r="DL35" s="123">
        <f t="shared" ref="DL35:DL38" si="248">(DL$39-DL$34)/5+DL34</f>
        <v>78.3</v>
      </c>
      <c r="DM35" s="123">
        <f t="shared" ref="DM35:DM38" si="249">(DM$39-DM$34)/5+DM34</f>
        <v>5.1919999999999984</v>
      </c>
      <c r="DN35" s="123">
        <f t="shared" ref="DN35:DN38" si="250">(DN$39-DN$34)/5+DN34</f>
        <v>80.3</v>
      </c>
      <c r="DO35" s="123">
        <f t="shared" ref="DO35:DO38" si="251">(DO$39-DO$34)/5+DO34</f>
        <v>4.2919999999999989</v>
      </c>
      <c r="DP35" s="123">
        <f t="shared" ref="DP35:DP38" si="252">(DP$39-DP$34)/5+DP34</f>
        <v>81.099999999999994</v>
      </c>
      <c r="DQ35" s="123">
        <f t="shared" ref="DQ35:DQ38" si="253">(DQ$39-DQ$34)/5+DQ34</f>
        <v>3.6220000000000003</v>
      </c>
      <c r="DR35" s="124">
        <f t="shared" ref="DR35:DR38" si="254">(DR$39-DR$34)/5+DR34</f>
        <v>44.6</v>
      </c>
      <c r="DS35" s="124">
        <f t="shared" ref="DS35:DS38" si="255">(DS$39-DS$34)/5+DS34</f>
        <v>4.6319999999999988</v>
      </c>
      <c r="DT35" s="124">
        <f t="shared" ref="DT35:DT38" si="256">(DT$39-DT$34)/5+DT34</f>
        <v>42.8</v>
      </c>
      <c r="DU35" s="124">
        <f t="shared" ref="DU35:DU38" si="257">(DU$39-DU$34)/5+DU34</f>
        <v>3.6320000000000001</v>
      </c>
      <c r="DV35" s="124">
        <f t="shared" ref="DV35:DV38" si="258">(DV$39-DV$34)/5+DV34</f>
        <v>41</v>
      </c>
      <c r="DW35" s="124">
        <f t="shared" ref="DW35:DW38" si="259">(DW$39-DW$34)/5+DW34</f>
        <v>3.032</v>
      </c>
      <c r="DX35" s="124">
        <f t="shared" ref="DX35:DX38" si="260">(DX$39-DX$34)/5+DX34</f>
        <v>59.6</v>
      </c>
      <c r="DY35" s="124">
        <f t="shared" ref="DY35:DY38" si="261">(DY$39-DY$34)/5+DY34</f>
        <v>4.9319999999999986</v>
      </c>
      <c r="DZ35" s="124">
        <f t="shared" ref="DZ35:DZ38" si="262">(DZ$39-DZ$34)/5+DZ34</f>
        <v>56.8</v>
      </c>
      <c r="EA35" s="124">
        <f t="shared" ref="EA35:EA38" si="263">(EA$39-EA$34)/5+EA34</f>
        <v>3.9319999999999999</v>
      </c>
      <c r="EB35" s="124">
        <f t="shared" ref="EB35:EB38" si="264">(EB$39-EB$34)/5+EB34</f>
        <v>54</v>
      </c>
      <c r="EC35" s="124">
        <f t="shared" ref="EC35:EC38" si="265">(EC$39-EC$34)/5+EC34</f>
        <v>3.032</v>
      </c>
      <c r="ED35" s="124">
        <f t="shared" ref="ED35:ED38" si="266">(ED$39-ED$34)/5+ED34</f>
        <v>86.7</v>
      </c>
      <c r="EE35" s="124">
        <f t="shared" ref="EE35:EE38" si="267">(EE$39-EE$34)/5+EE34</f>
        <v>4.9319999999999986</v>
      </c>
      <c r="EF35" s="124">
        <f t="shared" ref="EF35:EF38" si="268">(EF$39-EF$34)/5+EF34</f>
        <v>83.35</v>
      </c>
      <c r="EG35" s="124">
        <f t="shared" ref="EG35:EG38" si="269">(EG$39-EG$34)/5+EG34</f>
        <v>3.8320000000000003</v>
      </c>
      <c r="EH35" s="124">
        <f t="shared" ref="EH35:EH38" si="270">(EH$39-EH$34)/5+EH34</f>
        <v>80</v>
      </c>
      <c r="EI35" s="124">
        <f t="shared" ref="EI35:EI38" si="271">(EI$39-EI$34)/5+EI34</f>
        <v>3.032</v>
      </c>
      <c r="EJ35" s="102">
        <f t="shared" si="143"/>
        <v>6.5941176470588205</v>
      </c>
      <c r="EK35" s="102">
        <f t="shared" si="139"/>
        <v>5.0176470588235276</v>
      </c>
      <c r="EL35" s="102">
        <f t="shared" si="139"/>
        <v>6.2941176470588207</v>
      </c>
      <c r="EM35" s="102">
        <f t="shared" si="139"/>
        <v>3.8411764705882336</v>
      </c>
      <c r="EN35" s="102">
        <f t="shared" si="139"/>
        <v>5.917647058823527</v>
      </c>
      <c r="EO35" s="102">
        <f t="shared" si="139"/>
        <v>3.0529411764705872</v>
      </c>
      <c r="EP35" s="102">
        <f t="shared" si="144"/>
        <v>9.0318181818181849</v>
      </c>
      <c r="EQ35" s="102">
        <f t="shared" si="221"/>
        <v>5.5181818181818203</v>
      </c>
      <c r="ER35" s="102">
        <f t="shared" si="222"/>
        <v>8.7318181818181841</v>
      </c>
      <c r="ES35" s="102">
        <f t="shared" si="200"/>
        <v>4.2136363636363647</v>
      </c>
      <c r="ET35" s="102">
        <f t="shared" si="201"/>
        <v>8.2636363636363654</v>
      </c>
      <c r="EU35" s="102">
        <f t="shared" si="202"/>
        <v>3.2090909090909099</v>
      </c>
      <c r="EV35" s="102">
        <f t="shared" si="203"/>
        <v>12.58181818181817</v>
      </c>
      <c r="EW35" s="102">
        <f t="shared" si="204"/>
        <v>5.7545454545454522</v>
      </c>
      <c r="EX35" s="102">
        <f t="shared" si="205"/>
        <v>11.977272727272741</v>
      </c>
      <c r="EY35" s="102">
        <f t="shared" si="206"/>
        <v>4.3454545454545421</v>
      </c>
      <c r="EZ35" s="102">
        <f t="shared" si="207"/>
        <v>11.172727272727261</v>
      </c>
      <c r="FA35" s="102">
        <f t="shared" si="208"/>
        <v>3.277272727272726</v>
      </c>
      <c r="FB35" s="102">
        <f t="shared" si="209"/>
        <v>15.89090909090908</v>
      </c>
      <c r="FC35" s="102">
        <f t="shared" si="210"/>
        <v>5.7545454545454522</v>
      </c>
      <c r="FD35" s="102">
        <f t="shared" si="211"/>
        <v>15.186363636363625</v>
      </c>
      <c r="FE35" s="102">
        <f t="shared" si="212"/>
        <v>4.4136363636363649</v>
      </c>
      <c r="FF35" s="102">
        <f t="shared" si="213"/>
        <v>14.486363636363624</v>
      </c>
      <c r="FG35" s="102">
        <f t="shared" si="214"/>
        <v>3.4454545454545427</v>
      </c>
      <c r="FH35" s="102">
        <f t="shared" si="215"/>
        <v>20.068181818181799</v>
      </c>
      <c r="FI35" s="102">
        <f t="shared" si="216"/>
        <v>5.3818181818181881</v>
      </c>
      <c r="FJ35" s="102">
        <f t="shared" si="217"/>
        <v>19.099999999999991</v>
      </c>
      <c r="FK35" s="102">
        <f t="shared" si="218"/>
        <v>4.1454545454545428</v>
      </c>
      <c r="FL35" s="102">
        <f t="shared" si="219"/>
        <v>17.995454545454553</v>
      </c>
      <c r="FM35" s="102">
        <f t="shared" si="220"/>
        <v>3.2090909090909099</v>
      </c>
    </row>
    <row r="36" spans="1:169" s="89" customFormat="1" x14ac:dyDescent="0.25">
      <c r="A36" s="89">
        <v>4</v>
      </c>
      <c r="B36" s="120">
        <v>5.8162499999999993</v>
      </c>
      <c r="C36" s="120">
        <v>3.3325</v>
      </c>
      <c r="D36" s="120">
        <v>7.9574999999999996</v>
      </c>
      <c r="E36" s="120">
        <v>3.3424999999999998</v>
      </c>
      <c r="F36" s="120">
        <v>11.172142857142857</v>
      </c>
      <c r="G36" s="120">
        <v>3.3364285714285717</v>
      </c>
      <c r="H36" s="120">
        <v>13.68</v>
      </c>
      <c r="I36" s="120">
        <v>3.1750000000000007</v>
      </c>
      <c r="J36" s="120">
        <v>16.68375</v>
      </c>
      <c r="K36" s="120">
        <v>3.1849999999999996</v>
      </c>
      <c r="L36" s="120">
        <v>5.6987499999999995</v>
      </c>
      <c r="M36" s="120">
        <v>2.8737500000000002</v>
      </c>
      <c r="N36" s="120">
        <v>7.6187500000000004</v>
      </c>
      <c r="O36" s="120">
        <v>3.0612500000000002</v>
      </c>
      <c r="P36" s="120">
        <v>11.040714285714285</v>
      </c>
      <c r="Q36" s="120">
        <v>2.8135714285714286</v>
      </c>
      <c r="R36" s="120">
        <v>13.5625</v>
      </c>
      <c r="S36" s="120">
        <v>2.7462499999999999</v>
      </c>
      <c r="T36" s="120">
        <v>15.448750000000002</v>
      </c>
      <c r="U36" s="120">
        <v>2.7462499999999999</v>
      </c>
      <c r="V36" s="120">
        <v>5.39</v>
      </c>
      <c r="W36" s="120">
        <v>2.2574999999999998</v>
      </c>
      <c r="X36" s="120">
        <v>6.7562500000000014</v>
      </c>
      <c r="Y36" s="120">
        <v>2.3812499999999996</v>
      </c>
      <c r="Z36" s="120">
        <v>9.2614285714285707</v>
      </c>
      <c r="AA36" s="120">
        <v>2.3685714285714288</v>
      </c>
      <c r="AB36" s="120">
        <v>12.7</v>
      </c>
      <c r="AC36" s="120">
        <v>2.2037500000000003</v>
      </c>
      <c r="AD36" s="120">
        <v>13.7875</v>
      </c>
      <c r="AE36" s="120">
        <v>2.1937500000000001</v>
      </c>
      <c r="AF36" s="125">
        <f t="shared" ref="AF36:AF38" si="272">(AF$39-AF$34)/5+AF35</f>
        <v>41.1</v>
      </c>
      <c r="AG36" s="125">
        <f t="shared" ref="AG36:AG38" si="273">(AG$39-AG$34)/5+AG35</f>
        <v>4.2160000000000002</v>
      </c>
      <c r="AH36" s="125">
        <f t="shared" ref="AH36:AH38" si="274">(AH$39-AH$34)/5+AH35</f>
        <v>47.676000000000002</v>
      </c>
      <c r="AI36" s="125">
        <f t="shared" ref="AI36:AI38" si="275">(AI$39-AI$34)/5+AI35</f>
        <v>4.306</v>
      </c>
      <c r="AJ36" s="125">
        <f t="shared" ref="AJ36:AJ38" si="276">(AJ$39-AJ$34)/5+AJ35</f>
        <v>61.650000000000006</v>
      </c>
      <c r="AK36" s="125">
        <f t="shared" ref="AK36:AK38" si="277">(AK$39-AK$34)/5+AK35</f>
        <v>4.1859999999999999</v>
      </c>
      <c r="AL36" s="125">
        <f t="shared" ref="AL36:AL38" si="278">(AL$39-AL$34)/5+AL35</f>
        <v>37.5448275862069</v>
      </c>
      <c r="AM36" s="125">
        <f t="shared" ref="AM36:AM38" si="279">(AM$39-AM$34)/5+AM35</f>
        <v>3.4000000000000004</v>
      </c>
      <c r="AN36" s="125">
        <f t="shared" ref="AN36:AN38" si="280">(AN$39-AN$34)/5+AN35</f>
        <v>43.552000000000007</v>
      </c>
      <c r="AO36" s="125">
        <f t="shared" ref="AO36:AO38" si="281">(AO$39-AO$34)/5+AO35</f>
        <v>3.49</v>
      </c>
      <c r="AP36" s="125">
        <f t="shared" ref="AP36:AP38" si="282">(AP$39-AP$34)/5+AP35</f>
        <v>56.317241379310346</v>
      </c>
      <c r="AQ36" s="125">
        <f t="shared" ref="AQ36:AQ38" si="283">(AQ$39-AQ$34)/5+AQ35</f>
        <v>3.3700000000000006</v>
      </c>
      <c r="AR36" s="125">
        <f t="shared" ref="AR36:AR38" si="284">(AR$39-AR$34)/5+AR35</f>
        <v>33.724137931034484</v>
      </c>
      <c r="AS36" s="125">
        <f t="shared" ref="AS36:AS38" si="285">(AS$39-AS$34)/5+AS35</f>
        <v>2.7240000000000002</v>
      </c>
      <c r="AT36" s="125">
        <f t="shared" ref="AT36:AT38" si="286">(AT$39-AT$34)/5+AT35</f>
        <v>39.120000000000005</v>
      </c>
      <c r="AU36" s="125">
        <f t="shared" ref="AU36:AU38" si="287">(AU$39-AU$34)/5+AU35</f>
        <v>2.8140000000000001</v>
      </c>
      <c r="AV36" s="125">
        <f t="shared" ref="AV36:AV38" si="288">(AV$39-AV$34)/5+AV35</f>
        <v>50.586206896551715</v>
      </c>
      <c r="AW36" s="125">
        <f t="shared" ref="AW36:AX38" si="289">(AW$39-AW$34)/5+AW35</f>
        <v>2.6940000000000004</v>
      </c>
      <c r="AX36" s="122">
        <f t="shared" si="289"/>
        <v>6.4300000000000006</v>
      </c>
      <c r="AY36" s="122">
        <f t="shared" ref="AY36:BU36" si="290">(AY$39-AY$34)/5+AY35</f>
        <v>4.17</v>
      </c>
      <c r="AZ36" s="122">
        <f t="shared" si="290"/>
        <v>7.694</v>
      </c>
      <c r="BA36" s="122">
        <f t="shared" si="290"/>
        <v>3.9340000000000002</v>
      </c>
      <c r="BB36" s="122">
        <f t="shared" si="290"/>
        <v>10.176</v>
      </c>
      <c r="BC36" s="122">
        <f t="shared" si="290"/>
        <v>3.6960000000000002</v>
      </c>
      <c r="BD36" s="122">
        <f t="shared" si="290"/>
        <v>16.491999999999997</v>
      </c>
      <c r="BE36" s="122">
        <f t="shared" si="290"/>
        <v>4.0739999999999998</v>
      </c>
      <c r="BF36" s="122">
        <f t="shared" si="290"/>
        <v>6.1679999999999993</v>
      </c>
      <c r="BG36" s="122">
        <f t="shared" si="290"/>
        <v>3.5220000000000002</v>
      </c>
      <c r="BH36" s="122">
        <f t="shared" si="290"/>
        <v>7.5439999999999996</v>
      </c>
      <c r="BI36" s="122">
        <f t="shared" si="290"/>
        <v>3.2699999999999996</v>
      </c>
      <c r="BJ36" s="122">
        <f t="shared" si="290"/>
        <v>9.8480000000000008</v>
      </c>
      <c r="BK36" s="122">
        <f t="shared" si="290"/>
        <v>3.0820000000000003</v>
      </c>
      <c r="BL36" s="122">
        <f t="shared" si="290"/>
        <v>15.91</v>
      </c>
      <c r="BM36" s="122">
        <f t="shared" si="290"/>
        <v>3.3699999999999997</v>
      </c>
      <c r="BN36" s="122">
        <f t="shared" si="290"/>
        <v>5.9519999999999991</v>
      </c>
      <c r="BO36" s="122">
        <f t="shared" si="290"/>
        <v>2.98</v>
      </c>
      <c r="BP36" s="122">
        <f t="shared" si="290"/>
        <v>7.0940000000000003</v>
      </c>
      <c r="BQ36" s="122">
        <f t="shared" si="290"/>
        <v>2.7440000000000002</v>
      </c>
      <c r="BR36" s="122">
        <f t="shared" si="290"/>
        <v>9.74</v>
      </c>
      <c r="BS36" s="122">
        <f t="shared" si="290"/>
        <v>2.75</v>
      </c>
      <c r="BT36" s="122">
        <f t="shared" si="290"/>
        <v>14.883999999999999</v>
      </c>
      <c r="BU36" s="122">
        <f t="shared" si="290"/>
        <v>2.8379999999999996</v>
      </c>
      <c r="BV36" s="123">
        <v>22.9</v>
      </c>
      <c r="BW36" s="123">
        <f t="shared" ref="BW36:BW38" si="291">(BW$39-BW$34)/5+BW35</f>
        <v>5.453999999999998</v>
      </c>
      <c r="BX36" s="123">
        <f t="shared" si="225"/>
        <v>23.1</v>
      </c>
      <c r="BY36" s="123">
        <f t="shared" si="225"/>
        <v>4.3539999999999983</v>
      </c>
      <c r="BZ36" s="123">
        <f t="shared" si="225"/>
        <v>23.3</v>
      </c>
      <c r="CA36" s="123">
        <f t="shared" si="225"/>
        <v>3.5840000000000001</v>
      </c>
      <c r="CB36" s="123">
        <f t="shared" si="225"/>
        <v>28.9</v>
      </c>
      <c r="CC36" s="123">
        <f t="shared" si="225"/>
        <v>5.4839999999999982</v>
      </c>
      <c r="CD36" s="123">
        <f t="shared" si="225"/>
        <v>29.1</v>
      </c>
      <c r="CE36" s="123">
        <f t="shared" si="225"/>
        <v>4.3639999999999981</v>
      </c>
      <c r="CF36" s="123">
        <f t="shared" si="225"/>
        <v>29.3</v>
      </c>
      <c r="CG36" s="123">
        <f t="shared" si="225"/>
        <v>3.5140000000000002</v>
      </c>
      <c r="CH36" s="123">
        <f t="shared" si="225"/>
        <v>38.700000000000003</v>
      </c>
      <c r="CI36" s="123">
        <f t="shared" si="225"/>
        <v>5.033999999999998</v>
      </c>
      <c r="CJ36" s="123">
        <f t="shared" si="225"/>
        <v>38.5</v>
      </c>
      <c r="CK36" s="123">
        <f t="shared" si="225"/>
        <v>4.3539999999999983</v>
      </c>
      <c r="CL36" s="123">
        <f t="shared" si="225"/>
        <v>38.799999999999997</v>
      </c>
      <c r="CM36" s="123">
        <f t="shared" si="225"/>
        <v>3.504</v>
      </c>
      <c r="CN36" s="123">
        <f t="shared" si="225"/>
        <v>47.5</v>
      </c>
      <c r="CO36" s="123">
        <f t="shared" si="225"/>
        <v>5.3439999999999985</v>
      </c>
      <c r="CP36" s="123">
        <f t="shared" si="226"/>
        <v>47</v>
      </c>
      <c r="CQ36" s="123">
        <f t="shared" si="227"/>
        <v>4.3339999999999987</v>
      </c>
      <c r="CR36" s="123">
        <f t="shared" si="228"/>
        <v>47.7</v>
      </c>
      <c r="CS36" s="123">
        <f t="shared" si="229"/>
        <v>3.6040000000000001</v>
      </c>
      <c r="CT36" s="123">
        <f t="shared" si="230"/>
        <v>54.9</v>
      </c>
      <c r="CU36" s="123">
        <f t="shared" si="231"/>
        <v>5.3439999999999985</v>
      </c>
      <c r="CV36" s="123">
        <f t="shared" si="232"/>
        <v>56.2</v>
      </c>
      <c r="CW36" s="123">
        <f t="shared" si="233"/>
        <v>4.3339999999999987</v>
      </c>
      <c r="CX36" s="123">
        <f t="shared" si="234"/>
        <v>57.2</v>
      </c>
      <c r="CY36" s="123">
        <f t="shared" si="235"/>
        <v>3.6040000000000001</v>
      </c>
      <c r="CZ36" s="123">
        <f t="shared" si="236"/>
        <v>64</v>
      </c>
      <c r="DA36" s="123">
        <f t="shared" si="237"/>
        <v>5.3939999999999984</v>
      </c>
      <c r="DB36" s="123">
        <f t="shared" si="238"/>
        <v>64.7</v>
      </c>
      <c r="DC36" s="123">
        <f t="shared" si="239"/>
        <v>4.3139999999999983</v>
      </c>
      <c r="DD36" s="123">
        <f t="shared" si="240"/>
        <v>64</v>
      </c>
      <c r="DE36" s="123">
        <f t="shared" si="241"/>
        <v>3.4039999999999999</v>
      </c>
      <c r="DF36" s="123">
        <f t="shared" si="242"/>
        <v>72.8</v>
      </c>
      <c r="DG36" s="123">
        <f t="shared" si="243"/>
        <v>5.1539999999999981</v>
      </c>
      <c r="DH36" s="123">
        <f t="shared" si="244"/>
        <v>74.099999999999994</v>
      </c>
      <c r="DI36" s="123">
        <f t="shared" si="245"/>
        <v>4.1939999999999982</v>
      </c>
      <c r="DJ36" s="123">
        <f t="shared" si="246"/>
        <v>73.900000000000006</v>
      </c>
      <c r="DK36" s="123">
        <f t="shared" si="247"/>
        <v>3.484</v>
      </c>
      <c r="DL36" s="123">
        <f t="shared" si="248"/>
        <v>78.3</v>
      </c>
      <c r="DM36" s="123">
        <f t="shared" si="249"/>
        <v>5.203999999999998</v>
      </c>
      <c r="DN36" s="123">
        <f t="shared" si="250"/>
        <v>80.3</v>
      </c>
      <c r="DO36" s="123">
        <f t="shared" si="251"/>
        <v>4.3039999999999985</v>
      </c>
      <c r="DP36" s="123">
        <f t="shared" si="252"/>
        <v>81.099999999999994</v>
      </c>
      <c r="DQ36" s="123">
        <f t="shared" si="253"/>
        <v>3.6340000000000003</v>
      </c>
      <c r="DR36" s="124">
        <f t="shared" si="254"/>
        <v>44.6</v>
      </c>
      <c r="DS36" s="124">
        <f t="shared" si="255"/>
        <v>4.6439999999999984</v>
      </c>
      <c r="DT36" s="124">
        <f t="shared" si="256"/>
        <v>42.8</v>
      </c>
      <c r="DU36" s="124">
        <f t="shared" si="257"/>
        <v>3.6440000000000001</v>
      </c>
      <c r="DV36" s="124">
        <f t="shared" si="258"/>
        <v>41</v>
      </c>
      <c r="DW36" s="124">
        <f t="shared" si="259"/>
        <v>3.044</v>
      </c>
      <c r="DX36" s="124">
        <f t="shared" si="260"/>
        <v>59.6</v>
      </c>
      <c r="DY36" s="124">
        <f t="shared" si="261"/>
        <v>4.9439999999999982</v>
      </c>
      <c r="DZ36" s="124">
        <f t="shared" si="262"/>
        <v>56.8</v>
      </c>
      <c r="EA36" s="124">
        <f t="shared" si="263"/>
        <v>3.944</v>
      </c>
      <c r="EB36" s="124">
        <f t="shared" si="264"/>
        <v>54</v>
      </c>
      <c r="EC36" s="124">
        <f t="shared" si="265"/>
        <v>3.044</v>
      </c>
      <c r="ED36" s="124">
        <f t="shared" si="266"/>
        <v>86.7</v>
      </c>
      <c r="EE36" s="124">
        <f t="shared" si="267"/>
        <v>4.9439999999999982</v>
      </c>
      <c r="EF36" s="124">
        <f t="shared" si="268"/>
        <v>83.35</v>
      </c>
      <c r="EG36" s="124">
        <f t="shared" si="269"/>
        <v>3.8440000000000003</v>
      </c>
      <c r="EH36" s="124">
        <f t="shared" si="270"/>
        <v>80</v>
      </c>
      <c r="EI36" s="124">
        <f t="shared" si="271"/>
        <v>3.044</v>
      </c>
      <c r="EJ36" s="102">
        <f t="shared" si="143"/>
        <v>6.6470588235294086</v>
      </c>
      <c r="EK36" s="102">
        <f t="shared" si="139"/>
        <v>5.0588235294117627</v>
      </c>
      <c r="EL36" s="102">
        <f t="shared" si="139"/>
        <v>6.3470588235294088</v>
      </c>
      <c r="EM36" s="102">
        <f t="shared" si="139"/>
        <v>3.8705882352941159</v>
      </c>
      <c r="EN36" s="102">
        <f t="shared" si="139"/>
        <v>5.9588235294117622</v>
      </c>
      <c r="EO36" s="102">
        <f t="shared" si="139"/>
        <v>3.076470588235293</v>
      </c>
      <c r="EP36" s="102">
        <f t="shared" si="144"/>
        <v>9.1272727272727305</v>
      </c>
      <c r="EQ36" s="102">
        <f t="shared" si="221"/>
        <v>5.572727272727275</v>
      </c>
      <c r="ER36" s="102">
        <f t="shared" si="222"/>
        <v>8.8272727272727298</v>
      </c>
      <c r="ES36" s="102">
        <f t="shared" si="200"/>
        <v>4.2545454545454557</v>
      </c>
      <c r="ET36" s="102">
        <f t="shared" si="201"/>
        <v>8.3545454545454572</v>
      </c>
      <c r="EU36" s="102">
        <f t="shared" si="202"/>
        <v>3.2363636363636372</v>
      </c>
      <c r="EV36" s="102">
        <f t="shared" si="203"/>
        <v>12.727272727272714</v>
      </c>
      <c r="EW36" s="102">
        <f t="shared" si="204"/>
        <v>5.8181818181818157</v>
      </c>
      <c r="EX36" s="102">
        <f t="shared" si="205"/>
        <v>12.109090909090924</v>
      </c>
      <c r="EY36" s="102">
        <f t="shared" si="206"/>
        <v>4.3818181818181783</v>
      </c>
      <c r="EZ36" s="102">
        <f t="shared" si="207"/>
        <v>11.290909090909079</v>
      </c>
      <c r="FA36" s="102">
        <f t="shared" si="208"/>
        <v>3.3090909090909078</v>
      </c>
      <c r="FB36" s="102">
        <f t="shared" si="209"/>
        <v>16.063636363636352</v>
      </c>
      <c r="FC36" s="102">
        <f t="shared" si="210"/>
        <v>5.8181818181818157</v>
      </c>
      <c r="FD36" s="102">
        <f t="shared" si="211"/>
        <v>15.345454545454533</v>
      </c>
      <c r="FE36" s="102">
        <f t="shared" si="212"/>
        <v>4.4545454545454559</v>
      </c>
      <c r="FF36" s="102">
        <f t="shared" si="213"/>
        <v>14.645454545454532</v>
      </c>
      <c r="FG36" s="102">
        <f t="shared" si="214"/>
        <v>3.4818181818181788</v>
      </c>
      <c r="FH36" s="102">
        <f t="shared" si="215"/>
        <v>20.272727272727252</v>
      </c>
      <c r="FI36" s="102">
        <f t="shared" si="216"/>
        <v>5.4272727272727339</v>
      </c>
      <c r="FJ36" s="102">
        <f t="shared" si="217"/>
        <v>19.29999999999999</v>
      </c>
      <c r="FK36" s="102">
        <f t="shared" si="218"/>
        <v>4.181818181818179</v>
      </c>
      <c r="FL36" s="102">
        <f t="shared" si="219"/>
        <v>18.181818181818191</v>
      </c>
      <c r="FM36" s="102">
        <f t="shared" si="220"/>
        <v>3.2363636363636372</v>
      </c>
    </row>
    <row r="37" spans="1:169" s="89" customFormat="1" x14ac:dyDescent="0.25">
      <c r="A37" s="89">
        <v>5</v>
      </c>
      <c r="B37" s="120">
        <v>5.9349999999999987</v>
      </c>
      <c r="C37" s="120">
        <v>3.38</v>
      </c>
      <c r="D37" s="120">
        <v>8.1199999999999992</v>
      </c>
      <c r="E37" s="120">
        <v>3.3899999999999997</v>
      </c>
      <c r="F37" s="120">
        <v>11.421428571428571</v>
      </c>
      <c r="G37" s="120">
        <v>3.3742857142857146</v>
      </c>
      <c r="H37" s="120">
        <v>13.96</v>
      </c>
      <c r="I37" s="120">
        <v>3.2200000000000006</v>
      </c>
      <c r="J37" s="120">
        <v>17.024999999999999</v>
      </c>
      <c r="K37" s="120">
        <v>3.2299999999999995</v>
      </c>
      <c r="L37" s="120">
        <v>5.8149999999999995</v>
      </c>
      <c r="M37" s="120">
        <v>2.915</v>
      </c>
      <c r="N37" s="120">
        <v>7.7750000000000004</v>
      </c>
      <c r="O37" s="120">
        <v>3.1050000000000004</v>
      </c>
      <c r="P37" s="120">
        <v>11.287142857142857</v>
      </c>
      <c r="Q37" s="120">
        <v>2.8457142857142856</v>
      </c>
      <c r="R37" s="120">
        <v>13.84</v>
      </c>
      <c r="S37" s="120">
        <v>2.7850000000000001</v>
      </c>
      <c r="T37" s="120">
        <v>15.765000000000002</v>
      </c>
      <c r="U37" s="120">
        <v>2.7850000000000001</v>
      </c>
      <c r="V37" s="120">
        <v>5.5</v>
      </c>
      <c r="W37" s="120">
        <v>2.29</v>
      </c>
      <c r="X37" s="120">
        <v>6.8950000000000014</v>
      </c>
      <c r="Y37" s="120">
        <v>2.4149999999999996</v>
      </c>
      <c r="Z37" s="120">
        <v>9.4742857142857151</v>
      </c>
      <c r="AA37" s="120">
        <v>2.3957142857142859</v>
      </c>
      <c r="AB37" s="120">
        <v>12.96</v>
      </c>
      <c r="AC37" s="120">
        <v>2.2350000000000003</v>
      </c>
      <c r="AD37" s="120">
        <v>14.07</v>
      </c>
      <c r="AE37" s="120">
        <v>2.2250000000000001</v>
      </c>
      <c r="AF37" s="125">
        <f t="shared" si="272"/>
        <v>42.313793103448276</v>
      </c>
      <c r="AG37" s="125">
        <f t="shared" si="273"/>
        <v>4.3540000000000001</v>
      </c>
      <c r="AH37" s="125">
        <f t="shared" si="274"/>
        <v>49.084000000000003</v>
      </c>
      <c r="AI37" s="125">
        <f t="shared" si="275"/>
        <v>4.444</v>
      </c>
      <c r="AJ37" s="125">
        <f t="shared" si="276"/>
        <v>63.470689655172421</v>
      </c>
      <c r="AK37" s="125">
        <f t="shared" si="277"/>
        <v>4.3239999999999998</v>
      </c>
      <c r="AL37" s="125">
        <f t="shared" si="278"/>
        <v>38.644827586206901</v>
      </c>
      <c r="AM37" s="125">
        <f t="shared" si="279"/>
        <v>3.5000000000000004</v>
      </c>
      <c r="AN37" s="125">
        <f t="shared" si="280"/>
        <v>44.82800000000001</v>
      </c>
      <c r="AO37" s="125">
        <f t="shared" si="281"/>
        <v>3.5900000000000003</v>
      </c>
      <c r="AP37" s="125">
        <f t="shared" si="282"/>
        <v>57.967241379310344</v>
      </c>
      <c r="AQ37" s="125">
        <f t="shared" si="283"/>
        <v>3.4700000000000006</v>
      </c>
      <c r="AR37" s="125">
        <f t="shared" si="284"/>
        <v>34.758620689655174</v>
      </c>
      <c r="AS37" s="125">
        <f t="shared" si="285"/>
        <v>2.7960000000000003</v>
      </c>
      <c r="AT37" s="125">
        <f t="shared" si="286"/>
        <v>40.320000000000007</v>
      </c>
      <c r="AU37" s="125">
        <f t="shared" si="287"/>
        <v>2.8860000000000001</v>
      </c>
      <c r="AV37" s="125">
        <f t="shared" si="288"/>
        <v>52.137931034482747</v>
      </c>
      <c r="AW37" s="125">
        <f t="shared" si="289"/>
        <v>2.7660000000000005</v>
      </c>
      <c r="AX37" s="122">
        <f t="shared" si="289"/>
        <v>6.6300000000000008</v>
      </c>
      <c r="AY37" s="122">
        <f t="shared" ref="AY37:BU37" si="292">(AY$39-AY$34)/5+AY36</f>
        <v>4.2699999999999996</v>
      </c>
      <c r="AZ37" s="122">
        <f t="shared" si="292"/>
        <v>7.8559999999999999</v>
      </c>
      <c r="BA37" s="122">
        <f t="shared" si="292"/>
        <v>4.0259999999999998</v>
      </c>
      <c r="BB37" s="122">
        <f t="shared" si="292"/>
        <v>10.464</v>
      </c>
      <c r="BC37" s="122">
        <f t="shared" si="292"/>
        <v>3.7840000000000003</v>
      </c>
      <c r="BD37" s="122">
        <f t="shared" si="292"/>
        <v>16.807999999999996</v>
      </c>
      <c r="BE37" s="122">
        <f t="shared" si="292"/>
        <v>4.1559999999999997</v>
      </c>
      <c r="BF37" s="122">
        <f t="shared" si="292"/>
        <v>6.331999999999999</v>
      </c>
      <c r="BG37" s="122">
        <f t="shared" si="292"/>
        <v>3.5980000000000003</v>
      </c>
      <c r="BH37" s="122">
        <f t="shared" si="292"/>
        <v>7.6759999999999993</v>
      </c>
      <c r="BI37" s="122">
        <f t="shared" si="292"/>
        <v>3.3399999999999994</v>
      </c>
      <c r="BJ37" s="122">
        <f t="shared" si="292"/>
        <v>10.132000000000001</v>
      </c>
      <c r="BK37" s="122">
        <f t="shared" si="292"/>
        <v>3.1580000000000004</v>
      </c>
      <c r="BL37" s="122">
        <f t="shared" si="292"/>
        <v>16.149999999999999</v>
      </c>
      <c r="BM37" s="122">
        <f t="shared" si="292"/>
        <v>3.4399999999999995</v>
      </c>
      <c r="BN37" s="122">
        <f t="shared" si="292"/>
        <v>6.1079999999999988</v>
      </c>
      <c r="BO37" s="122">
        <f t="shared" si="292"/>
        <v>3.04</v>
      </c>
      <c r="BP37" s="122">
        <f t="shared" si="292"/>
        <v>7.2360000000000007</v>
      </c>
      <c r="BQ37" s="122">
        <f t="shared" si="292"/>
        <v>2.7960000000000003</v>
      </c>
      <c r="BR37" s="122">
        <f t="shared" si="292"/>
        <v>9.74</v>
      </c>
      <c r="BS37" s="122">
        <f t="shared" si="292"/>
        <v>2.75</v>
      </c>
      <c r="BT37" s="122">
        <f t="shared" si="292"/>
        <v>15.125999999999998</v>
      </c>
      <c r="BU37" s="122">
        <f t="shared" si="292"/>
        <v>2.8919999999999995</v>
      </c>
      <c r="BV37" s="123">
        <v>22.9</v>
      </c>
      <c r="BW37" s="123">
        <f t="shared" si="291"/>
        <v>5.4659999999999975</v>
      </c>
      <c r="BX37" s="123">
        <f t="shared" si="225"/>
        <v>23.1</v>
      </c>
      <c r="BY37" s="123">
        <f t="shared" si="225"/>
        <v>4.3659999999999979</v>
      </c>
      <c r="BZ37" s="123">
        <f t="shared" si="225"/>
        <v>23.3</v>
      </c>
      <c r="CA37" s="123">
        <f t="shared" si="225"/>
        <v>3.5960000000000001</v>
      </c>
      <c r="CB37" s="123">
        <f t="shared" si="225"/>
        <v>28.9</v>
      </c>
      <c r="CC37" s="123">
        <f t="shared" si="225"/>
        <v>5.4959999999999978</v>
      </c>
      <c r="CD37" s="123">
        <f t="shared" si="225"/>
        <v>29.1</v>
      </c>
      <c r="CE37" s="123">
        <f t="shared" si="225"/>
        <v>4.3759999999999977</v>
      </c>
      <c r="CF37" s="123">
        <f t="shared" si="225"/>
        <v>29.3</v>
      </c>
      <c r="CG37" s="123">
        <f t="shared" si="225"/>
        <v>3.5260000000000002</v>
      </c>
      <c r="CH37" s="123">
        <f t="shared" si="225"/>
        <v>38.700000000000003</v>
      </c>
      <c r="CI37" s="123">
        <f t="shared" si="225"/>
        <v>5.0459999999999976</v>
      </c>
      <c r="CJ37" s="123">
        <f t="shared" si="225"/>
        <v>38.5</v>
      </c>
      <c r="CK37" s="123">
        <f t="shared" si="225"/>
        <v>4.3659999999999979</v>
      </c>
      <c r="CL37" s="123">
        <f t="shared" si="225"/>
        <v>38.799999999999997</v>
      </c>
      <c r="CM37" s="123">
        <f t="shared" si="225"/>
        <v>3.516</v>
      </c>
      <c r="CN37" s="123">
        <f t="shared" si="225"/>
        <v>47.5</v>
      </c>
      <c r="CO37" s="123">
        <f t="shared" si="225"/>
        <v>5.3559999999999981</v>
      </c>
      <c r="CP37" s="123">
        <f t="shared" si="226"/>
        <v>47</v>
      </c>
      <c r="CQ37" s="123">
        <f t="shared" si="227"/>
        <v>4.3459999999999983</v>
      </c>
      <c r="CR37" s="123">
        <f t="shared" si="228"/>
        <v>47.7</v>
      </c>
      <c r="CS37" s="123">
        <f t="shared" si="229"/>
        <v>3.6160000000000001</v>
      </c>
      <c r="CT37" s="123">
        <f t="shared" si="230"/>
        <v>54.9</v>
      </c>
      <c r="CU37" s="123">
        <f t="shared" si="231"/>
        <v>5.3559999999999981</v>
      </c>
      <c r="CV37" s="123">
        <f t="shared" si="232"/>
        <v>56.2</v>
      </c>
      <c r="CW37" s="123">
        <f t="shared" si="233"/>
        <v>4.3459999999999983</v>
      </c>
      <c r="CX37" s="123">
        <f t="shared" si="234"/>
        <v>57.2</v>
      </c>
      <c r="CY37" s="123">
        <f t="shared" si="235"/>
        <v>3.6160000000000001</v>
      </c>
      <c r="CZ37" s="123">
        <f t="shared" si="236"/>
        <v>64</v>
      </c>
      <c r="DA37" s="123">
        <f t="shared" si="237"/>
        <v>5.4059999999999979</v>
      </c>
      <c r="DB37" s="123">
        <f t="shared" si="238"/>
        <v>64.7</v>
      </c>
      <c r="DC37" s="123">
        <f t="shared" si="239"/>
        <v>4.3259999999999978</v>
      </c>
      <c r="DD37" s="123">
        <f t="shared" si="240"/>
        <v>64</v>
      </c>
      <c r="DE37" s="123">
        <f t="shared" si="241"/>
        <v>3.4159999999999999</v>
      </c>
      <c r="DF37" s="123">
        <f t="shared" si="242"/>
        <v>72.8</v>
      </c>
      <c r="DG37" s="123">
        <f t="shared" si="243"/>
        <v>5.1659999999999977</v>
      </c>
      <c r="DH37" s="123">
        <f t="shared" si="244"/>
        <v>74.099999999999994</v>
      </c>
      <c r="DI37" s="123">
        <f t="shared" si="245"/>
        <v>4.2059999999999977</v>
      </c>
      <c r="DJ37" s="123">
        <f t="shared" si="246"/>
        <v>73.900000000000006</v>
      </c>
      <c r="DK37" s="123">
        <f t="shared" si="247"/>
        <v>3.496</v>
      </c>
      <c r="DL37" s="123">
        <f t="shared" si="248"/>
        <v>78.3</v>
      </c>
      <c r="DM37" s="123">
        <f t="shared" si="249"/>
        <v>5.2159999999999975</v>
      </c>
      <c r="DN37" s="123">
        <f t="shared" si="250"/>
        <v>80.3</v>
      </c>
      <c r="DO37" s="123">
        <f t="shared" si="251"/>
        <v>4.3159999999999981</v>
      </c>
      <c r="DP37" s="123">
        <f t="shared" si="252"/>
        <v>81.099999999999994</v>
      </c>
      <c r="DQ37" s="123">
        <f t="shared" si="253"/>
        <v>3.6460000000000004</v>
      </c>
      <c r="DR37" s="124">
        <f t="shared" si="254"/>
        <v>44.6</v>
      </c>
      <c r="DS37" s="124">
        <f t="shared" si="255"/>
        <v>4.6559999999999979</v>
      </c>
      <c r="DT37" s="124">
        <f t="shared" si="256"/>
        <v>42.8</v>
      </c>
      <c r="DU37" s="124">
        <f t="shared" si="257"/>
        <v>3.6560000000000001</v>
      </c>
      <c r="DV37" s="124">
        <f t="shared" si="258"/>
        <v>41</v>
      </c>
      <c r="DW37" s="124">
        <f t="shared" si="259"/>
        <v>3.056</v>
      </c>
      <c r="DX37" s="124">
        <f t="shared" si="260"/>
        <v>59.6</v>
      </c>
      <c r="DY37" s="124">
        <f t="shared" si="261"/>
        <v>4.9559999999999977</v>
      </c>
      <c r="DZ37" s="124">
        <f t="shared" si="262"/>
        <v>56.8</v>
      </c>
      <c r="EA37" s="124">
        <f t="shared" si="263"/>
        <v>3.956</v>
      </c>
      <c r="EB37" s="124">
        <f t="shared" si="264"/>
        <v>54</v>
      </c>
      <c r="EC37" s="124">
        <f t="shared" si="265"/>
        <v>3.056</v>
      </c>
      <c r="ED37" s="124">
        <f t="shared" si="266"/>
        <v>86.7</v>
      </c>
      <c r="EE37" s="124">
        <f t="shared" si="267"/>
        <v>4.9559999999999977</v>
      </c>
      <c r="EF37" s="124">
        <f t="shared" si="268"/>
        <v>83.35</v>
      </c>
      <c r="EG37" s="124">
        <f t="shared" si="269"/>
        <v>3.8560000000000003</v>
      </c>
      <c r="EH37" s="124">
        <f t="shared" si="270"/>
        <v>80</v>
      </c>
      <c r="EI37" s="124">
        <f t="shared" si="271"/>
        <v>3.056</v>
      </c>
      <c r="EJ37" s="102">
        <v>6.7</v>
      </c>
      <c r="EK37" s="102">
        <v>5.0999999999999996</v>
      </c>
      <c r="EL37" s="102">
        <v>6.4</v>
      </c>
      <c r="EM37" s="102">
        <v>3.9</v>
      </c>
      <c r="EN37" s="102">
        <v>6</v>
      </c>
      <c r="EO37" s="102">
        <v>3.1</v>
      </c>
      <c r="EP37" s="102">
        <f t="shared" si="144"/>
        <v>9.2227272727272762</v>
      </c>
      <c r="EQ37" s="102">
        <f t="shared" si="221"/>
        <v>5.6272727272727296</v>
      </c>
      <c r="ER37" s="102">
        <f t="shared" si="222"/>
        <v>8.9227272727272755</v>
      </c>
      <c r="ES37" s="102">
        <f t="shared" si="200"/>
        <v>4.2954545454545467</v>
      </c>
      <c r="ET37" s="102">
        <f t="shared" si="201"/>
        <v>8.4454545454545489</v>
      </c>
      <c r="EU37" s="102">
        <f t="shared" si="202"/>
        <v>3.2636363636363646</v>
      </c>
      <c r="EV37" s="102">
        <f t="shared" si="203"/>
        <v>12.872727272727259</v>
      </c>
      <c r="EW37" s="102">
        <f t="shared" si="204"/>
        <v>5.8818181818181792</v>
      </c>
      <c r="EX37" s="102">
        <f t="shared" si="205"/>
        <v>12.240909090909106</v>
      </c>
      <c r="EY37" s="102">
        <f t="shared" si="206"/>
        <v>4.4181818181818144</v>
      </c>
      <c r="EZ37" s="102">
        <f t="shared" si="207"/>
        <v>11.409090909090896</v>
      </c>
      <c r="FA37" s="102">
        <f t="shared" si="208"/>
        <v>3.3409090909090895</v>
      </c>
      <c r="FB37" s="102">
        <f t="shared" si="209"/>
        <v>16.236363636363624</v>
      </c>
      <c r="FC37" s="102">
        <f t="shared" si="210"/>
        <v>5.8818181818181792</v>
      </c>
      <c r="FD37" s="102">
        <f t="shared" si="211"/>
        <v>15.504545454545442</v>
      </c>
      <c r="FE37" s="102">
        <f t="shared" si="212"/>
        <v>4.4954545454545469</v>
      </c>
      <c r="FF37" s="102">
        <f t="shared" si="213"/>
        <v>14.80454545454544</v>
      </c>
      <c r="FG37" s="102">
        <f t="shared" si="214"/>
        <v>3.518181818181815</v>
      </c>
      <c r="FH37" s="102">
        <f t="shared" si="215"/>
        <v>20.477272727272705</v>
      </c>
      <c r="FI37" s="102">
        <f t="shared" si="216"/>
        <v>5.4727272727272798</v>
      </c>
      <c r="FJ37" s="102">
        <f t="shared" si="217"/>
        <v>19.499999999999989</v>
      </c>
      <c r="FK37" s="102">
        <f t="shared" si="218"/>
        <v>4.2181818181818151</v>
      </c>
      <c r="FL37" s="102">
        <f t="shared" si="219"/>
        <v>18.368181818181828</v>
      </c>
      <c r="FM37" s="102">
        <f t="shared" si="220"/>
        <v>3.2636363636363646</v>
      </c>
    </row>
    <row r="38" spans="1:169" s="89" customFormat="1" x14ac:dyDescent="0.25">
      <c r="A38" s="89">
        <v>6</v>
      </c>
      <c r="B38" s="120">
        <v>6.0537499999999991</v>
      </c>
      <c r="C38" s="120">
        <v>3.4274999999999998</v>
      </c>
      <c r="D38" s="120">
        <v>8.2824999999999989</v>
      </c>
      <c r="E38" s="120">
        <v>3.4374999999999996</v>
      </c>
      <c r="F38" s="120">
        <v>11.670714285714286</v>
      </c>
      <c r="G38" s="120">
        <v>3.4121428571428574</v>
      </c>
      <c r="H38" s="120">
        <v>14.24</v>
      </c>
      <c r="I38" s="120">
        <v>3.2650000000000006</v>
      </c>
      <c r="J38" s="120">
        <v>17.366250000000001</v>
      </c>
      <c r="K38" s="120">
        <v>3.2749999999999995</v>
      </c>
      <c r="L38" s="120">
        <v>5.9312499999999995</v>
      </c>
      <c r="M38" s="120">
        <v>2.9562499999999998</v>
      </c>
      <c r="N38" s="120">
        <v>7.9312500000000004</v>
      </c>
      <c r="O38" s="120">
        <v>3.1487500000000002</v>
      </c>
      <c r="P38" s="120">
        <v>11.533571428571427</v>
      </c>
      <c r="Q38" s="120">
        <v>2.8778571428571431</v>
      </c>
      <c r="R38" s="120">
        <v>14.1175</v>
      </c>
      <c r="S38" s="120">
        <v>2.82375</v>
      </c>
      <c r="T38" s="120">
        <v>16.081250000000004</v>
      </c>
      <c r="U38" s="120">
        <v>2.82375</v>
      </c>
      <c r="V38" s="120">
        <v>5.6099999999999994</v>
      </c>
      <c r="W38" s="120">
        <v>2.3224999999999998</v>
      </c>
      <c r="X38" s="120">
        <v>7.0337500000000013</v>
      </c>
      <c r="Y38" s="120">
        <v>2.4487499999999995</v>
      </c>
      <c r="Z38" s="120">
        <v>9.6871428571428577</v>
      </c>
      <c r="AA38" s="120">
        <v>2.422857142857143</v>
      </c>
      <c r="AB38" s="120">
        <v>13.219999999999999</v>
      </c>
      <c r="AC38" s="120">
        <v>2.2662500000000003</v>
      </c>
      <c r="AD38" s="120">
        <v>14.352499999999999</v>
      </c>
      <c r="AE38" s="120">
        <v>2.2562500000000001</v>
      </c>
      <c r="AF38" s="125">
        <f t="shared" si="272"/>
        <v>43.527586206896551</v>
      </c>
      <c r="AG38" s="125">
        <f t="shared" si="273"/>
        <v>4.492</v>
      </c>
      <c r="AH38" s="125">
        <f t="shared" si="274"/>
        <v>50.492000000000004</v>
      </c>
      <c r="AI38" s="125">
        <f t="shared" si="275"/>
        <v>4.5819999999999999</v>
      </c>
      <c r="AJ38" s="125">
        <f t="shared" si="276"/>
        <v>65.291379310344837</v>
      </c>
      <c r="AK38" s="125">
        <f t="shared" si="277"/>
        <v>4.4619999999999997</v>
      </c>
      <c r="AL38" s="125">
        <f t="shared" si="278"/>
        <v>39.744827586206902</v>
      </c>
      <c r="AM38" s="125">
        <f t="shared" si="279"/>
        <v>3.6000000000000005</v>
      </c>
      <c r="AN38" s="125">
        <f t="shared" si="280"/>
        <v>46.104000000000013</v>
      </c>
      <c r="AO38" s="125">
        <f t="shared" si="281"/>
        <v>3.6900000000000004</v>
      </c>
      <c r="AP38" s="125">
        <f t="shared" si="282"/>
        <v>59.617241379310343</v>
      </c>
      <c r="AQ38" s="125">
        <f t="shared" si="283"/>
        <v>3.5700000000000007</v>
      </c>
      <c r="AR38" s="125">
        <f t="shared" si="284"/>
        <v>35.793103448275865</v>
      </c>
      <c r="AS38" s="125">
        <f t="shared" si="285"/>
        <v>2.8680000000000003</v>
      </c>
      <c r="AT38" s="125">
        <f t="shared" si="286"/>
        <v>41.52000000000001</v>
      </c>
      <c r="AU38" s="125">
        <f t="shared" si="287"/>
        <v>2.9580000000000002</v>
      </c>
      <c r="AV38" s="125">
        <f t="shared" si="288"/>
        <v>53.689655172413779</v>
      </c>
      <c r="AW38" s="125">
        <f t="shared" si="289"/>
        <v>2.8380000000000005</v>
      </c>
      <c r="AX38" s="122">
        <f t="shared" si="289"/>
        <v>6.830000000000001</v>
      </c>
      <c r="AY38" s="122">
        <f t="shared" ref="AY38:BU38" si="293">(AY$39-AY$34)/5+AY37</f>
        <v>4.3699999999999992</v>
      </c>
      <c r="AZ38" s="122">
        <f t="shared" si="293"/>
        <v>8.0180000000000007</v>
      </c>
      <c r="BA38" s="122">
        <f t="shared" si="293"/>
        <v>4.1179999999999994</v>
      </c>
      <c r="BB38" s="122">
        <f t="shared" si="293"/>
        <v>10.752000000000001</v>
      </c>
      <c r="BC38" s="122">
        <f t="shared" si="293"/>
        <v>3.8720000000000003</v>
      </c>
      <c r="BD38" s="122">
        <f t="shared" si="293"/>
        <v>17.123999999999995</v>
      </c>
      <c r="BE38" s="122">
        <f t="shared" si="293"/>
        <v>4.2379999999999995</v>
      </c>
      <c r="BF38" s="122">
        <f t="shared" si="293"/>
        <v>6.4959999999999987</v>
      </c>
      <c r="BG38" s="122">
        <f t="shared" si="293"/>
        <v>3.6740000000000004</v>
      </c>
      <c r="BH38" s="122">
        <f t="shared" si="293"/>
        <v>7.8079999999999989</v>
      </c>
      <c r="BI38" s="122">
        <f t="shared" si="293"/>
        <v>3.4099999999999993</v>
      </c>
      <c r="BJ38" s="122">
        <f t="shared" si="293"/>
        <v>10.416000000000002</v>
      </c>
      <c r="BK38" s="122">
        <f t="shared" si="293"/>
        <v>3.2340000000000004</v>
      </c>
      <c r="BL38" s="122">
        <f t="shared" si="293"/>
        <v>16.389999999999997</v>
      </c>
      <c r="BM38" s="122">
        <f t="shared" si="293"/>
        <v>3.5099999999999993</v>
      </c>
      <c r="BN38" s="122">
        <f t="shared" si="293"/>
        <v>6.2639999999999985</v>
      </c>
      <c r="BO38" s="122">
        <f t="shared" si="293"/>
        <v>3.1</v>
      </c>
      <c r="BP38" s="122">
        <f t="shared" si="293"/>
        <v>7.378000000000001</v>
      </c>
      <c r="BQ38" s="122">
        <f t="shared" si="293"/>
        <v>2.8480000000000003</v>
      </c>
      <c r="BR38" s="122">
        <f t="shared" si="293"/>
        <v>9.74</v>
      </c>
      <c r="BS38" s="122">
        <f t="shared" si="293"/>
        <v>2.75</v>
      </c>
      <c r="BT38" s="122">
        <f t="shared" si="293"/>
        <v>15.367999999999997</v>
      </c>
      <c r="BU38" s="122">
        <f t="shared" si="293"/>
        <v>2.9459999999999993</v>
      </c>
      <c r="BV38" s="123">
        <v>22.9</v>
      </c>
      <c r="BW38" s="123">
        <f t="shared" si="291"/>
        <v>5.4779999999999971</v>
      </c>
      <c r="BX38" s="123">
        <f t="shared" si="225"/>
        <v>23.1</v>
      </c>
      <c r="BY38" s="123">
        <f t="shared" si="225"/>
        <v>4.3779999999999974</v>
      </c>
      <c r="BZ38" s="123">
        <f t="shared" si="225"/>
        <v>23.3</v>
      </c>
      <c r="CA38" s="123">
        <f t="shared" si="225"/>
        <v>3.6080000000000001</v>
      </c>
      <c r="CB38" s="123">
        <f t="shared" si="225"/>
        <v>28.9</v>
      </c>
      <c r="CC38" s="123">
        <f t="shared" si="225"/>
        <v>5.5079999999999973</v>
      </c>
      <c r="CD38" s="123">
        <f t="shared" si="225"/>
        <v>29.1</v>
      </c>
      <c r="CE38" s="123">
        <f t="shared" si="225"/>
        <v>4.3879999999999972</v>
      </c>
      <c r="CF38" s="123">
        <f t="shared" si="225"/>
        <v>29.3</v>
      </c>
      <c r="CG38" s="123">
        <f t="shared" si="225"/>
        <v>3.5380000000000003</v>
      </c>
      <c r="CH38" s="123">
        <f t="shared" si="225"/>
        <v>38.700000000000003</v>
      </c>
      <c r="CI38" s="123">
        <f t="shared" si="225"/>
        <v>5.0579999999999972</v>
      </c>
      <c r="CJ38" s="123">
        <f t="shared" si="225"/>
        <v>38.5</v>
      </c>
      <c r="CK38" s="123">
        <f t="shared" si="225"/>
        <v>4.3779999999999974</v>
      </c>
      <c r="CL38" s="123">
        <f t="shared" si="225"/>
        <v>38.799999999999997</v>
      </c>
      <c r="CM38" s="123">
        <f t="shared" si="225"/>
        <v>3.528</v>
      </c>
      <c r="CN38" s="123">
        <f t="shared" si="225"/>
        <v>47.5</v>
      </c>
      <c r="CO38" s="123">
        <f t="shared" si="225"/>
        <v>5.3679999999999977</v>
      </c>
      <c r="CP38" s="123">
        <f t="shared" si="226"/>
        <v>47</v>
      </c>
      <c r="CQ38" s="123">
        <f t="shared" si="227"/>
        <v>4.3579999999999979</v>
      </c>
      <c r="CR38" s="123">
        <f t="shared" si="228"/>
        <v>47.7</v>
      </c>
      <c r="CS38" s="123">
        <f t="shared" si="229"/>
        <v>3.6280000000000001</v>
      </c>
      <c r="CT38" s="123">
        <f t="shared" si="230"/>
        <v>54.9</v>
      </c>
      <c r="CU38" s="123">
        <f t="shared" si="231"/>
        <v>5.3679999999999977</v>
      </c>
      <c r="CV38" s="123">
        <f t="shared" si="232"/>
        <v>56.2</v>
      </c>
      <c r="CW38" s="123">
        <f t="shared" si="233"/>
        <v>4.3579999999999979</v>
      </c>
      <c r="CX38" s="123">
        <f t="shared" si="234"/>
        <v>57.2</v>
      </c>
      <c r="CY38" s="123">
        <f t="shared" si="235"/>
        <v>3.6280000000000001</v>
      </c>
      <c r="CZ38" s="123">
        <f t="shared" si="236"/>
        <v>64</v>
      </c>
      <c r="DA38" s="123">
        <f t="shared" si="237"/>
        <v>5.4179999999999975</v>
      </c>
      <c r="DB38" s="123">
        <f t="shared" si="238"/>
        <v>64.7</v>
      </c>
      <c r="DC38" s="123">
        <f t="shared" si="239"/>
        <v>4.3379999999999974</v>
      </c>
      <c r="DD38" s="123">
        <f t="shared" si="240"/>
        <v>64</v>
      </c>
      <c r="DE38" s="123">
        <f t="shared" si="241"/>
        <v>3.4279999999999999</v>
      </c>
      <c r="DF38" s="123">
        <f t="shared" si="242"/>
        <v>72.8</v>
      </c>
      <c r="DG38" s="123">
        <f t="shared" si="243"/>
        <v>5.1779999999999973</v>
      </c>
      <c r="DH38" s="123">
        <f t="shared" si="244"/>
        <v>74.099999999999994</v>
      </c>
      <c r="DI38" s="123">
        <f t="shared" si="245"/>
        <v>4.2179999999999973</v>
      </c>
      <c r="DJ38" s="123">
        <f t="shared" si="246"/>
        <v>73.900000000000006</v>
      </c>
      <c r="DK38" s="123">
        <f t="shared" si="247"/>
        <v>3.508</v>
      </c>
      <c r="DL38" s="123">
        <f t="shared" si="248"/>
        <v>78.3</v>
      </c>
      <c r="DM38" s="123">
        <f t="shared" si="249"/>
        <v>5.2279999999999971</v>
      </c>
      <c r="DN38" s="123">
        <f t="shared" si="250"/>
        <v>80.3</v>
      </c>
      <c r="DO38" s="123">
        <f t="shared" si="251"/>
        <v>4.3279999999999976</v>
      </c>
      <c r="DP38" s="123">
        <f t="shared" si="252"/>
        <v>81.099999999999994</v>
      </c>
      <c r="DQ38" s="123">
        <f t="shared" si="253"/>
        <v>3.6580000000000004</v>
      </c>
      <c r="DR38" s="124">
        <f t="shared" si="254"/>
        <v>44.6</v>
      </c>
      <c r="DS38" s="124">
        <f t="shared" si="255"/>
        <v>4.6679999999999975</v>
      </c>
      <c r="DT38" s="124">
        <f t="shared" si="256"/>
        <v>42.8</v>
      </c>
      <c r="DU38" s="124">
        <f t="shared" si="257"/>
        <v>3.6680000000000001</v>
      </c>
      <c r="DV38" s="124">
        <f t="shared" si="258"/>
        <v>41</v>
      </c>
      <c r="DW38" s="124">
        <f t="shared" si="259"/>
        <v>3.0680000000000001</v>
      </c>
      <c r="DX38" s="124">
        <f t="shared" si="260"/>
        <v>59.6</v>
      </c>
      <c r="DY38" s="124">
        <f t="shared" si="261"/>
        <v>4.9679999999999973</v>
      </c>
      <c r="DZ38" s="124">
        <f t="shared" si="262"/>
        <v>56.8</v>
      </c>
      <c r="EA38" s="124">
        <f t="shared" si="263"/>
        <v>3.968</v>
      </c>
      <c r="EB38" s="124">
        <f t="shared" si="264"/>
        <v>54</v>
      </c>
      <c r="EC38" s="124">
        <f t="shared" si="265"/>
        <v>3.0680000000000001</v>
      </c>
      <c r="ED38" s="124">
        <f t="shared" si="266"/>
        <v>86.7</v>
      </c>
      <c r="EE38" s="124">
        <f t="shared" si="267"/>
        <v>4.9679999999999973</v>
      </c>
      <c r="EF38" s="124">
        <f t="shared" si="268"/>
        <v>83.35</v>
      </c>
      <c r="EG38" s="124">
        <f t="shared" si="269"/>
        <v>3.8680000000000003</v>
      </c>
      <c r="EH38" s="124">
        <f t="shared" si="270"/>
        <v>80</v>
      </c>
      <c r="EI38" s="124">
        <f t="shared" si="271"/>
        <v>3.0680000000000001</v>
      </c>
      <c r="EJ38" s="102">
        <f>(EJ$37-EJ$36)+EJ37</f>
        <v>6.7529411764705918</v>
      </c>
      <c r="EK38" s="102">
        <f t="shared" ref="EK38:EO42" si="294">(EK$37-EK$36)+EK37</f>
        <v>5.1411764705882366</v>
      </c>
      <c r="EL38" s="102">
        <f t="shared" si="294"/>
        <v>6.452941176470592</v>
      </c>
      <c r="EM38" s="102">
        <f t="shared" si="294"/>
        <v>3.9294117647058839</v>
      </c>
      <c r="EN38" s="102">
        <f t="shared" si="294"/>
        <v>6.0411764705882378</v>
      </c>
      <c r="EO38" s="102">
        <f t="shared" si="294"/>
        <v>3.1235294117647072</v>
      </c>
      <c r="EP38" s="102">
        <f t="shared" si="144"/>
        <v>9.3181818181818219</v>
      </c>
      <c r="EQ38" s="102">
        <f t="shared" si="221"/>
        <v>5.6818181818181843</v>
      </c>
      <c r="ER38" s="102">
        <f t="shared" si="222"/>
        <v>9.0181818181818212</v>
      </c>
      <c r="ES38" s="102">
        <f t="shared" si="200"/>
        <v>4.3363636363636378</v>
      </c>
      <c r="ET38" s="102">
        <f t="shared" si="201"/>
        <v>8.5363636363636406</v>
      </c>
      <c r="EU38" s="102">
        <f t="shared" si="202"/>
        <v>3.2909090909090919</v>
      </c>
      <c r="EV38" s="102">
        <f t="shared" si="203"/>
        <v>13.018181818181803</v>
      </c>
      <c r="EW38" s="102">
        <f t="shared" si="204"/>
        <v>5.9454545454545427</v>
      </c>
      <c r="EX38" s="102">
        <f t="shared" si="205"/>
        <v>12.372727272727289</v>
      </c>
      <c r="EY38" s="102">
        <f t="shared" si="206"/>
        <v>4.4545454545454506</v>
      </c>
      <c r="EZ38" s="102">
        <f t="shared" si="207"/>
        <v>11.527272727272713</v>
      </c>
      <c r="FA38" s="102">
        <f t="shared" si="208"/>
        <v>3.3727272727272712</v>
      </c>
      <c r="FB38" s="102">
        <f t="shared" si="209"/>
        <v>16.409090909090896</v>
      </c>
      <c r="FC38" s="102">
        <f t="shared" si="210"/>
        <v>5.9454545454545427</v>
      </c>
      <c r="FD38" s="102">
        <f t="shared" si="211"/>
        <v>15.66363636363635</v>
      </c>
      <c r="FE38" s="102">
        <f t="shared" si="212"/>
        <v>4.5363636363636379</v>
      </c>
      <c r="FF38" s="102">
        <f t="shared" si="213"/>
        <v>14.963636363636349</v>
      </c>
      <c r="FG38" s="102">
        <f t="shared" si="214"/>
        <v>3.5545454545454511</v>
      </c>
      <c r="FH38" s="102">
        <f t="shared" si="215"/>
        <v>20.681818181818159</v>
      </c>
      <c r="FI38" s="102">
        <f t="shared" si="216"/>
        <v>5.5181818181818256</v>
      </c>
      <c r="FJ38" s="102">
        <f t="shared" si="217"/>
        <v>19.699999999999989</v>
      </c>
      <c r="FK38" s="102">
        <f t="shared" si="218"/>
        <v>4.2545454545454513</v>
      </c>
      <c r="FL38" s="102">
        <f t="shared" si="219"/>
        <v>18.554545454545465</v>
      </c>
      <c r="FM38" s="102">
        <f t="shared" si="220"/>
        <v>3.2909090909090919</v>
      </c>
    </row>
    <row r="39" spans="1:169" s="89" customFormat="1" x14ac:dyDescent="0.25">
      <c r="A39" s="89">
        <v>7</v>
      </c>
      <c r="B39" s="120">
        <v>6.1724999999999994</v>
      </c>
      <c r="C39" s="120">
        <v>3.4749999999999996</v>
      </c>
      <c r="D39" s="120">
        <v>8.4450000000000003</v>
      </c>
      <c r="E39" s="120">
        <v>3.4849999999999994</v>
      </c>
      <c r="F39" s="120">
        <v>11.92</v>
      </c>
      <c r="G39" s="120">
        <v>3.45</v>
      </c>
      <c r="H39" s="120">
        <v>14.52</v>
      </c>
      <c r="I39" s="120">
        <v>3.3100000000000005</v>
      </c>
      <c r="J39" s="120">
        <v>17.7075</v>
      </c>
      <c r="K39" s="120">
        <v>3.32</v>
      </c>
      <c r="L39" s="120">
        <v>6.0474999999999994</v>
      </c>
      <c r="M39" s="120">
        <v>2.9975000000000001</v>
      </c>
      <c r="N39" s="120">
        <v>8.0875000000000004</v>
      </c>
      <c r="O39" s="120">
        <v>3.1925000000000003</v>
      </c>
      <c r="P39" s="120">
        <v>11.78</v>
      </c>
      <c r="Q39" s="120">
        <v>2.91</v>
      </c>
      <c r="R39" s="120">
        <v>14.395000000000001</v>
      </c>
      <c r="S39" s="120">
        <v>2.8624999999999998</v>
      </c>
      <c r="T39" s="120">
        <v>16.397500000000001</v>
      </c>
      <c r="U39" s="120">
        <v>2.8624999999999998</v>
      </c>
      <c r="V39" s="120">
        <v>5.72</v>
      </c>
      <c r="W39" s="120">
        <v>2.355</v>
      </c>
      <c r="X39" s="120">
        <v>7.1725000000000012</v>
      </c>
      <c r="Y39" s="120">
        <v>2.4824999999999995</v>
      </c>
      <c r="Z39" s="120">
        <v>9.9</v>
      </c>
      <c r="AA39" s="120">
        <v>2.4500000000000002</v>
      </c>
      <c r="AB39" s="120">
        <v>13.48</v>
      </c>
      <c r="AC39" s="120">
        <v>2.2975000000000003</v>
      </c>
      <c r="AD39" s="120">
        <v>14.635</v>
      </c>
      <c r="AE39" s="120">
        <v>2.2875000000000001</v>
      </c>
      <c r="AF39" s="125">
        <v>44.741379310344826</v>
      </c>
      <c r="AG39" s="125">
        <v>4.63</v>
      </c>
      <c r="AH39" s="125">
        <v>51.9</v>
      </c>
      <c r="AI39" s="125">
        <v>4.72</v>
      </c>
      <c r="AJ39" s="125">
        <v>67.112068965517238</v>
      </c>
      <c r="AK39" s="125">
        <v>4.5999999999999996</v>
      </c>
      <c r="AL39" s="125">
        <v>40.844827586206897</v>
      </c>
      <c r="AM39" s="125">
        <v>3.7</v>
      </c>
      <c r="AN39" s="125">
        <v>47.38</v>
      </c>
      <c r="AO39" s="125">
        <v>3.79</v>
      </c>
      <c r="AP39" s="125">
        <v>61.267241379310349</v>
      </c>
      <c r="AQ39" s="125">
        <v>3.6700000000000004</v>
      </c>
      <c r="AR39" s="125">
        <v>36.827586206896548</v>
      </c>
      <c r="AS39" s="125">
        <v>2.94</v>
      </c>
      <c r="AT39" s="125">
        <v>42.72</v>
      </c>
      <c r="AU39" s="125">
        <v>3.03</v>
      </c>
      <c r="AV39" s="125">
        <v>55.241379310344826</v>
      </c>
      <c r="AW39" s="125">
        <v>2.91</v>
      </c>
      <c r="AX39" s="122">
        <v>7.03</v>
      </c>
      <c r="AY39" s="122">
        <v>4.47</v>
      </c>
      <c r="AZ39" s="122">
        <v>8.18</v>
      </c>
      <c r="BA39" s="122">
        <v>4.21</v>
      </c>
      <c r="BB39" s="122">
        <v>11.04</v>
      </c>
      <c r="BC39" s="122">
        <v>3.96</v>
      </c>
      <c r="BD39" s="122">
        <v>17.440000000000001</v>
      </c>
      <c r="BE39" s="122">
        <v>4.32</v>
      </c>
      <c r="BF39" s="122">
        <v>6.66</v>
      </c>
      <c r="BG39" s="122">
        <v>3.75</v>
      </c>
      <c r="BH39" s="122">
        <v>7.94</v>
      </c>
      <c r="BI39" s="122">
        <v>3.48</v>
      </c>
      <c r="BJ39" s="122">
        <v>10.7</v>
      </c>
      <c r="BK39" s="122">
        <v>3.31</v>
      </c>
      <c r="BL39" s="122">
        <v>16.63</v>
      </c>
      <c r="BM39" s="122">
        <v>3.58</v>
      </c>
      <c r="BN39" s="122">
        <v>6.42</v>
      </c>
      <c r="BO39" s="122">
        <v>3.16</v>
      </c>
      <c r="BP39" s="122">
        <v>7.52</v>
      </c>
      <c r="BQ39" s="122">
        <v>2.9</v>
      </c>
      <c r="BR39" s="122">
        <v>9.74</v>
      </c>
      <c r="BS39" s="122">
        <v>2.75</v>
      </c>
      <c r="BT39" s="122">
        <v>15.61</v>
      </c>
      <c r="BU39" s="122">
        <v>3</v>
      </c>
      <c r="BV39" s="123">
        <v>22.9</v>
      </c>
      <c r="BW39" s="123">
        <v>5.4899999999999984</v>
      </c>
      <c r="BX39" s="123">
        <v>23.1</v>
      </c>
      <c r="BY39" s="123">
        <v>4.3899999999999988</v>
      </c>
      <c r="BZ39" s="123">
        <v>23.3</v>
      </c>
      <c r="CA39" s="123">
        <v>3.62</v>
      </c>
      <c r="CB39" s="123">
        <v>28.9</v>
      </c>
      <c r="CC39" s="123">
        <v>5.5199999999999987</v>
      </c>
      <c r="CD39" s="123">
        <v>29.1</v>
      </c>
      <c r="CE39" s="123">
        <v>4.3999999999999986</v>
      </c>
      <c r="CF39" s="123">
        <v>29.3</v>
      </c>
      <c r="CG39" s="123">
        <v>3.5500000000000003</v>
      </c>
      <c r="CH39" s="123">
        <v>38.700000000000003</v>
      </c>
      <c r="CI39" s="123">
        <v>5.0699999999999985</v>
      </c>
      <c r="CJ39" s="123">
        <v>38.5</v>
      </c>
      <c r="CK39" s="123">
        <v>4.3899999999999988</v>
      </c>
      <c r="CL39" s="123">
        <v>38.799999999999997</v>
      </c>
      <c r="CM39" s="123">
        <v>3.54</v>
      </c>
      <c r="CN39" s="123">
        <v>47.5</v>
      </c>
      <c r="CO39" s="123">
        <v>5.379999999999999</v>
      </c>
      <c r="CP39" s="123">
        <v>47</v>
      </c>
      <c r="CQ39" s="123">
        <v>4.3699999999999992</v>
      </c>
      <c r="CR39" s="123">
        <v>47.7</v>
      </c>
      <c r="CS39" s="123">
        <v>3.64</v>
      </c>
      <c r="CT39" s="123">
        <v>54.9</v>
      </c>
      <c r="CU39" s="123">
        <v>5.379999999999999</v>
      </c>
      <c r="CV39" s="123">
        <v>56.2</v>
      </c>
      <c r="CW39" s="123">
        <v>4.3699999999999992</v>
      </c>
      <c r="CX39" s="123">
        <v>57.2</v>
      </c>
      <c r="CY39" s="123">
        <v>3.64</v>
      </c>
      <c r="CZ39" s="123">
        <v>64</v>
      </c>
      <c r="DA39" s="123">
        <v>5.4299999999999988</v>
      </c>
      <c r="DB39" s="123">
        <v>64.7</v>
      </c>
      <c r="DC39" s="123">
        <v>4.3499999999999988</v>
      </c>
      <c r="DD39" s="123">
        <v>64</v>
      </c>
      <c r="DE39" s="123">
        <v>3.44</v>
      </c>
      <c r="DF39" s="123">
        <v>72.8</v>
      </c>
      <c r="DG39" s="123">
        <v>5.1899999999999986</v>
      </c>
      <c r="DH39" s="123">
        <v>74.099999999999994</v>
      </c>
      <c r="DI39" s="123">
        <v>4.2299999999999986</v>
      </c>
      <c r="DJ39" s="123">
        <v>73.900000000000006</v>
      </c>
      <c r="DK39" s="123">
        <v>3.52</v>
      </c>
      <c r="DL39" s="123">
        <v>78.3</v>
      </c>
      <c r="DM39" s="123">
        <v>5.2399999999999984</v>
      </c>
      <c r="DN39" s="123">
        <v>80.3</v>
      </c>
      <c r="DO39" s="123">
        <v>4.339999999999999</v>
      </c>
      <c r="DP39" s="123">
        <v>81.099999999999994</v>
      </c>
      <c r="DQ39" s="123">
        <v>3.6700000000000004</v>
      </c>
      <c r="DR39" s="124">
        <v>44.6</v>
      </c>
      <c r="DS39" s="124">
        <v>4.6799999999999988</v>
      </c>
      <c r="DT39" s="124">
        <v>42.8</v>
      </c>
      <c r="DU39" s="124">
        <v>3.68</v>
      </c>
      <c r="DV39" s="124">
        <v>41</v>
      </c>
      <c r="DW39" s="124">
        <v>3.08</v>
      </c>
      <c r="DX39" s="124">
        <v>59.6</v>
      </c>
      <c r="DY39" s="124">
        <v>4.9799999999999986</v>
      </c>
      <c r="DZ39" s="124">
        <v>56.8</v>
      </c>
      <c r="EA39" s="124">
        <v>3.98</v>
      </c>
      <c r="EB39" s="124">
        <v>54</v>
      </c>
      <c r="EC39" s="124">
        <v>3.08</v>
      </c>
      <c r="ED39" s="124">
        <v>86.7</v>
      </c>
      <c r="EE39" s="124">
        <v>4.9799999999999986</v>
      </c>
      <c r="EF39" s="124">
        <v>83.35</v>
      </c>
      <c r="EG39" s="124">
        <v>3.8800000000000003</v>
      </c>
      <c r="EH39" s="124">
        <v>80</v>
      </c>
      <c r="EI39" s="124">
        <v>3.08</v>
      </c>
      <c r="EJ39" s="102">
        <f t="shared" ref="EJ39:EJ42" si="295">(EJ$37-EJ$36)+EJ38</f>
        <v>6.8058823529411834</v>
      </c>
      <c r="EK39" s="102">
        <f t="shared" si="294"/>
        <v>5.1823529411764735</v>
      </c>
      <c r="EL39" s="102">
        <f t="shared" si="294"/>
        <v>6.5058823529411836</v>
      </c>
      <c r="EM39" s="102">
        <f t="shared" si="294"/>
        <v>3.958823529411768</v>
      </c>
      <c r="EN39" s="102">
        <f t="shared" si="294"/>
        <v>6.0823529411764756</v>
      </c>
      <c r="EO39" s="102">
        <f t="shared" si="294"/>
        <v>3.1470588235294144</v>
      </c>
      <c r="EP39" s="102">
        <f t="shared" si="144"/>
        <v>9.4136363636363676</v>
      </c>
      <c r="EQ39" s="102">
        <f t="shared" si="221"/>
        <v>5.736363636363639</v>
      </c>
      <c r="ER39" s="102">
        <f t="shared" si="222"/>
        <v>9.1136363636363669</v>
      </c>
      <c r="ES39" s="102">
        <f t="shared" si="200"/>
        <v>4.3772727272727288</v>
      </c>
      <c r="ET39" s="102">
        <f t="shared" si="201"/>
        <v>8.6272727272727323</v>
      </c>
      <c r="EU39" s="102">
        <f t="shared" si="202"/>
        <v>3.3181818181818192</v>
      </c>
      <c r="EV39" s="102">
        <f t="shared" si="203"/>
        <v>13.163636363636348</v>
      </c>
      <c r="EW39" s="102">
        <f t="shared" si="204"/>
        <v>6.0090909090909062</v>
      </c>
      <c r="EX39" s="102">
        <f t="shared" si="205"/>
        <v>12.504545454545472</v>
      </c>
      <c r="EY39" s="102">
        <f t="shared" si="206"/>
        <v>4.4909090909090867</v>
      </c>
      <c r="EZ39" s="102">
        <f t="shared" si="207"/>
        <v>11.64545454545453</v>
      </c>
      <c r="FA39" s="102">
        <f t="shared" si="208"/>
        <v>3.404545454545453</v>
      </c>
      <c r="FB39" s="102">
        <f t="shared" si="209"/>
        <v>16.581818181818168</v>
      </c>
      <c r="FC39" s="102">
        <f t="shared" si="210"/>
        <v>6.0090909090909062</v>
      </c>
      <c r="FD39" s="102">
        <f t="shared" si="211"/>
        <v>15.822727272727258</v>
      </c>
      <c r="FE39" s="102">
        <f t="shared" si="212"/>
        <v>4.5772727272727289</v>
      </c>
      <c r="FF39" s="102">
        <f t="shared" si="213"/>
        <v>15.122727272727257</v>
      </c>
      <c r="FG39" s="102">
        <f t="shared" si="214"/>
        <v>3.5909090909090873</v>
      </c>
      <c r="FH39" s="102">
        <f t="shared" si="215"/>
        <v>20.886363636363612</v>
      </c>
      <c r="FI39" s="102">
        <f t="shared" si="216"/>
        <v>5.5636363636363715</v>
      </c>
      <c r="FJ39" s="102">
        <f t="shared" si="217"/>
        <v>19.899999999999988</v>
      </c>
      <c r="FK39" s="102">
        <f t="shared" si="218"/>
        <v>4.2909090909090875</v>
      </c>
      <c r="FL39" s="102">
        <f t="shared" si="219"/>
        <v>18.740909090909103</v>
      </c>
      <c r="FM39" s="102">
        <f t="shared" si="220"/>
        <v>3.3181818181818192</v>
      </c>
    </row>
    <row r="40" spans="1:169" s="89" customFormat="1" x14ac:dyDescent="0.25">
      <c r="A40" s="89">
        <v>8</v>
      </c>
      <c r="B40" s="120">
        <v>6.2912499999999998</v>
      </c>
      <c r="C40" s="120">
        <v>3.5225</v>
      </c>
      <c r="D40" s="120">
        <v>8.6074999999999999</v>
      </c>
      <c r="E40" s="120">
        <v>3.5324999999999998</v>
      </c>
      <c r="F40" s="120">
        <v>12.169285714285714</v>
      </c>
      <c r="G40" s="120">
        <v>3.487857142857143</v>
      </c>
      <c r="H40" s="120">
        <v>14.8</v>
      </c>
      <c r="I40" s="120">
        <v>3.3550000000000009</v>
      </c>
      <c r="J40" s="120">
        <v>18.048749999999998</v>
      </c>
      <c r="K40" s="120">
        <v>3.3649999999999998</v>
      </c>
      <c r="L40" s="120">
        <v>6.1637499999999994</v>
      </c>
      <c r="M40" s="120">
        <v>3.0387500000000003</v>
      </c>
      <c r="N40" s="120">
        <v>8.2437500000000004</v>
      </c>
      <c r="O40" s="120">
        <v>3.2362500000000001</v>
      </c>
      <c r="P40" s="120">
        <v>12.026428571428571</v>
      </c>
      <c r="Q40" s="120">
        <v>2.9421428571428572</v>
      </c>
      <c r="R40" s="120">
        <v>14.672500000000001</v>
      </c>
      <c r="S40" s="120">
        <v>2.9012500000000001</v>
      </c>
      <c r="T40" s="120">
        <v>16.713750000000005</v>
      </c>
      <c r="U40" s="120">
        <v>2.9012500000000001</v>
      </c>
      <c r="V40" s="120">
        <v>5.83</v>
      </c>
      <c r="W40" s="120">
        <v>2.3875000000000002</v>
      </c>
      <c r="X40" s="120">
        <v>7.3112500000000011</v>
      </c>
      <c r="Y40" s="120">
        <v>2.5162499999999994</v>
      </c>
      <c r="Z40" s="120">
        <v>10.112857142857143</v>
      </c>
      <c r="AA40" s="120">
        <v>2.4771428571428573</v>
      </c>
      <c r="AB40" s="120">
        <v>13.74</v>
      </c>
      <c r="AC40" s="120">
        <v>2.3287500000000003</v>
      </c>
      <c r="AD40" s="120">
        <v>14.9175</v>
      </c>
      <c r="AE40" s="120">
        <v>2.3187500000000001</v>
      </c>
      <c r="AF40" s="125">
        <f>(AF$44-AF$39)/5+AF39</f>
        <v>45.841379310344827</v>
      </c>
      <c r="AG40" s="125">
        <f t="shared" ref="AG40:AW43" si="296">(AG$44-AG$39)/5+AG39</f>
        <v>4.734</v>
      </c>
      <c r="AH40" s="125">
        <f t="shared" si="296"/>
        <v>53.176000000000002</v>
      </c>
      <c r="AI40" s="125">
        <f t="shared" si="296"/>
        <v>4.8239999999999998</v>
      </c>
      <c r="AJ40" s="125">
        <f t="shared" si="296"/>
        <v>68.762068965517244</v>
      </c>
      <c r="AK40" s="125">
        <f t="shared" si="296"/>
        <v>4.7039999999999997</v>
      </c>
      <c r="AL40" s="125">
        <f t="shared" si="296"/>
        <v>41.862068965517238</v>
      </c>
      <c r="AM40" s="125">
        <f t="shared" si="296"/>
        <v>3.7800000000000002</v>
      </c>
      <c r="AN40" s="125">
        <f t="shared" si="296"/>
        <v>48.56</v>
      </c>
      <c r="AO40" s="125">
        <f t="shared" si="296"/>
        <v>3.87</v>
      </c>
      <c r="AP40" s="125">
        <f t="shared" si="296"/>
        <v>62.793103448275865</v>
      </c>
      <c r="AQ40" s="125">
        <f t="shared" si="296"/>
        <v>3.7500000000000004</v>
      </c>
      <c r="AR40" s="125">
        <f t="shared" si="296"/>
        <v>37.796551724137927</v>
      </c>
      <c r="AS40" s="125">
        <f t="shared" si="296"/>
        <v>3.004</v>
      </c>
      <c r="AT40" s="125">
        <f t="shared" si="296"/>
        <v>43.844000000000001</v>
      </c>
      <c r="AU40" s="125">
        <f t="shared" si="296"/>
        <v>3.0939999999999999</v>
      </c>
      <c r="AV40" s="125">
        <f t="shared" si="296"/>
        <v>56.694827586206898</v>
      </c>
      <c r="AW40" s="125">
        <f t="shared" si="296"/>
        <v>2.9740000000000002</v>
      </c>
      <c r="AX40" s="122">
        <f>(AX$44-AX$39)/5+AX39</f>
        <v>7.1059999999999999</v>
      </c>
      <c r="AY40" s="122">
        <f t="shared" ref="AY40:BU43" si="297">(AY$44-AY$39)/5+AY39</f>
        <v>4.6079999999999997</v>
      </c>
      <c r="AZ40" s="122">
        <f t="shared" si="297"/>
        <v>8.2799999999999994</v>
      </c>
      <c r="BA40" s="122">
        <f t="shared" si="297"/>
        <v>4.3339999999999996</v>
      </c>
      <c r="BB40" s="122">
        <f t="shared" si="297"/>
        <v>11.144</v>
      </c>
      <c r="BC40" s="122">
        <f t="shared" si="297"/>
        <v>4.0620000000000003</v>
      </c>
      <c r="BD40" s="122">
        <f t="shared" si="297"/>
        <v>17.568000000000001</v>
      </c>
      <c r="BE40" s="122">
        <f t="shared" si="297"/>
        <v>4.4279999999999999</v>
      </c>
      <c r="BF40" s="122">
        <f t="shared" si="297"/>
        <v>6.8159999999999998</v>
      </c>
      <c r="BG40" s="122">
        <f t="shared" si="297"/>
        <v>3.8340000000000001</v>
      </c>
      <c r="BH40" s="122">
        <f t="shared" si="297"/>
        <v>8.0220000000000002</v>
      </c>
      <c r="BI40" s="122">
        <f t="shared" si="297"/>
        <v>3.57</v>
      </c>
      <c r="BJ40" s="122">
        <f t="shared" si="297"/>
        <v>10.815999999999999</v>
      </c>
      <c r="BK40" s="122">
        <f t="shared" si="297"/>
        <v>3.3860000000000001</v>
      </c>
      <c r="BL40" s="122">
        <f t="shared" si="297"/>
        <v>16.77</v>
      </c>
      <c r="BM40" s="122">
        <f t="shared" si="297"/>
        <v>3.6659999999999999</v>
      </c>
      <c r="BN40" s="122">
        <f t="shared" si="297"/>
        <v>6.5839999999999996</v>
      </c>
      <c r="BO40" s="122">
        <f t="shared" si="297"/>
        <v>3.2160000000000002</v>
      </c>
      <c r="BP40" s="122">
        <f t="shared" si="297"/>
        <v>7.6079999999999997</v>
      </c>
      <c r="BQ40" s="122">
        <f t="shared" si="297"/>
        <v>2.964</v>
      </c>
      <c r="BR40" s="122">
        <f t="shared" si="297"/>
        <v>9.9380000000000006</v>
      </c>
      <c r="BS40" s="122">
        <f t="shared" si="297"/>
        <v>2.8119999999999998</v>
      </c>
      <c r="BT40" s="122">
        <f t="shared" si="297"/>
        <v>15.762</v>
      </c>
      <c r="BU40" s="122">
        <f t="shared" si="297"/>
        <v>3.07</v>
      </c>
      <c r="BV40" s="123">
        <v>22.9</v>
      </c>
      <c r="BW40" s="123">
        <f>(BW$44-BW$39)/5+BW39</f>
        <v>5.501999999999998</v>
      </c>
      <c r="BX40" s="123">
        <f t="shared" ref="BX40:CO43" si="298">(BX$44-BX$39)/5+BX39</f>
        <v>23.1</v>
      </c>
      <c r="BY40" s="123">
        <f t="shared" si="298"/>
        <v>4.4019999999999984</v>
      </c>
      <c r="BZ40" s="123">
        <f t="shared" si="298"/>
        <v>23.3</v>
      </c>
      <c r="CA40" s="123">
        <f t="shared" si="298"/>
        <v>3.6320000000000001</v>
      </c>
      <c r="CB40" s="123">
        <f t="shared" si="298"/>
        <v>28.9</v>
      </c>
      <c r="CC40" s="123">
        <f t="shared" si="298"/>
        <v>5.5319999999999983</v>
      </c>
      <c r="CD40" s="123">
        <f t="shared" si="298"/>
        <v>29.1</v>
      </c>
      <c r="CE40" s="123">
        <f t="shared" si="298"/>
        <v>4.4119999999999981</v>
      </c>
      <c r="CF40" s="123">
        <f t="shared" si="298"/>
        <v>29.3</v>
      </c>
      <c r="CG40" s="123">
        <f t="shared" si="298"/>
        <v>3.5620000000000003</v>
      </c>
      <c r="CH40" s="123">
        <f t="shared" si="298"/>
        <v>38.700000000000003</v>
      </c>
      <c r="CI40" s="123">
        <f t="shared" si="298"/>
        <v>5.0819999999999981</v>
      </c>
      <c r="CJ40" s="123">
        <f t="shared" si="298"/>
        <v>38.5</v>
      </c>
      <c r="CK40" s="123">
        <f t="shared" si="298"/>
        <v>4.4019999999999984</v>
      </c>
      <c r="CL40" s="123">
        <f t="shared" si="298"/>
        <v>38.799999999999997</v>
      </c>
      <c r="CM40" s="123">
        <f t="shared" si="298"/>
        <v>3.552</v>
      </c>
      <c r="CN40" s="123">
        <f t="shared" si="298"/>
        <v>47.5</v>
      </c>
      <c r="CO40" s="123">
        <f t="shared" si="298"/>
        <v>5.3919999999999986</v>
      </c>
      <c r="CP40" s="123">
        <f t="shared" ref="CP40:CP43" si="299">(CP$44-CP$39)/5+CP39</f>
        <v>47</v>
      </c>
      <c r="CQ40" s="123">
        <f t="shared" ref="CQ40:CQ43" si="300">(CQ$44-CQ$39)/5+CQ39</f>
        <v>4.3819999999999988</v>
      </c>
      <c r="CR40" s="123">
        <f t="shared" ref="CR40:CR43" si="301">(CR$44-CR$39)/5+CR39</f>
        <v>47.7</v>
      </c>
      <c r="CS40" s="123">
        <f t="shared" ref="CS40:CS43" si="302">(CS$44-CS$39)/5+CS39</f>
        <v>3.6520000000000001</v>
      </c>
      <c r="CT40" s="123">
        <f t="shared" ref="CT40:CT43" si="303">(CT$44-CT$39)/5+CT39</f>
        <v>54.9</v>
      </c>
      <c r="CU40" s="123">
        <f t="shared" ref="CU40:CU43" si="304">(CU$44-CU$39)/5+CU39</f>
        <v>5.3919999999999986</v>
      </c>
      <c r="CV40" s="123">
        <f t="shared" ref="CV40:CV43" si="305">(CV$44-CV$39)/5+CV39</f>
        <v>56.2</v>
      </c>
      <c r="CW40" s="123">
        <f t="shared" ref="CW40:CW43" si="306">(CW$44-CW$39)/5+CW39</f>
        <v>4.3819999999999988</v>
      </c>
      <c r="CX40" s="123">
        <f t="shared" ref="CX40:CX43" si="307">(CX$44-CX$39)/5+CX39</f>
        <v>57.2</v>
      </c>
      <c r="CY40" s="123">
        <f t="shared" ref="CY40:CY43" si="308">(CY$44-CY$39)/5+CY39</f>
        <v>3.6520000000000001</v>
      </c>
      <c r="CZ40" s="123">
        <f t="shared" ref="CZ40:CZ43" si="309">(CZ$44-CZ$39)/5+CZ39</f>
        <v>64</v>
      </c>
      <c r="DA40" s="123">
        <f t="shared" ref="DA40:DA43" si="310">(DA$44-DA$39)/5+DA39</f>
        <v>5.4419999999999984</v>
      </c>
      <c r="DB40" s="123">
        <f t="shared" ref="DB40:DB43" si="311">(DB$44-DB$39)/5+DB39</f>
        <v>64.7</v>
      </c>
      <c r="DC40" s="123">
        <f t="shared" ref="DC40:DC43" si="312">(DC$44-DC$39)/5+DC39</f>
        <v>4.3619999999999983</v>
      </c>
      <c r="DD40" s="123">
        <f t="shared" ref="DD40:DD43" si="313">(DD$44-DD$39)/5+DD39</f>
        <v>64</v>
      </c>
      <c r="DE40" s="123">
        <f t="shared" ref="DE40:DE43" si="314">(DE$44-DE$39)/5+DE39</f>
        <v>3.452</v>
      </c>
      <c r="DF40" s="123">
        <f t="shared" ref="DF40:DF43" si="315">(DF$44-DF$39)/5+DF39</f>
        <v>72.8</v>
      </c>
      <c r="DG40" s="123">
        <f t="shared" ref="DG40:DG43" si="316">(DG$44-DG$39)/5+DG39</f>
        <v>5.2019999999999982</v>
      </c>
      <c r="DH40" s="123">
        <f t="shared" ref="DH40:DH43" si="317">(DH$44-DH$39)/5+DH39</f>
        <v>74.099999999999994</v>
      </c>
      <c r="DI40" s="123">
        <f t="shared" ref="DI40:DI43" si="318">(DI$44-DI$39)/5+DI39</f>
        <v>4.2419999999999982</v>
      </c>
      <c r="DJ40" s="123">
        <f t="shared" ref="DJ40:DJ43" si="319">(DJ$44-DJ$39)/5+DJ39</f>
        <v>73.900000000000006</v>
      </c>
      <c r="DK40" s="123">
        <f t="shared" ref="DK40:DK43" si="320">(DK$44-DK$39)/5+DK39</f>
        <v>3.532</v>
      </c>
      <c r="DL40" s="123">
        <f t="shared" ref="DL40:DL43" si="321">(DL$44-DL$39)/5+DL39</f>
        <v>78.3</v>
      </c>
      <c r="DM40" s="123">
        <f t="shared" ref="DM40:DM43" si="322">(DM$44-DM$39)/5+DM39</f>
        <v>5.251999999999998</v>
      </c>
      <c r="DN40" s="123">
        <f t="shared" ref="DN40:DN43" si="323">(DN$44-DN$39)/5+DN39</f>
        <v>80.3</v>
      </c>
      <c r="DO40" s="123">
        <f t="shared" ref="DO40:DO43" si="324">(DO$44-DO$39)/5+DO39</f>
        <v>4.3519999999999985</v>
      </c>
      <c r="DP40" s="123">
        <f t="shared" ref="DP40:DP43" si="325">(DP$44-DP$39)/5+DP39</f>
        <v>81.099999999999994</v>
      </c>
      <c r="DQ40" s="123">
        <f t="shared" ref="DQ40:DQ43" si="326">(DQ$44-DQ$39)/5+DQ39</f>
        <v>3.6820000000000004</v>
      </c>
      <c r="DR40" s="124">
        <f t="shared" ref="DR40:DR43" si="327">(DR$44-DR$39)/5+DR39</f>
        <v>44.6</v>
      </c>
      <c r="DS40" s="124">
        <f t="shared" ref="DS40:DS43" si="328">(DS$44-DS$39)/5+DS39</f>
        <v>4.6919999999999984</v>
      </c>
      <c r="DT40" s="124">
        <f t="shared" ref="DT40:DT43" si="329">(DT$44-DT$39)/5+DT39</f>
        <v>42.8</v>
      </c>
      <c r="DU40" s="124">
        <f t="shared" ref="DU40:DU43" si="330">(DU$44-DU$39)/5+DU39</f>
        <v>3.6920000000000002</v>
      </c>
      <c r="DV40" s="124">
        <f t="shared" ref="DV40:DV43" si="331">(DV$44-DV$39)/5+DV39</f>
        <v>41</v>
      </c>
      <c r="DW40" s="124">
        <f t="shared" ref="DW40:DW43" si="332">(DW$44-DW$39)/5+DW39</f>
        <v>3.0920000000000001</v>
      </c>
      <c r="DX40" s="124">
        <f t="shared" ref="DX40:DX43" si="333">(DX$44-DX$39)/5+DX39</f>
        <v>59.6</v>
      </c>
      <c r="DY40" s="124">
        <f t="shared" ref="DY40:DY43" si="334">(DY$44-DY$39)/5+DY39</f>
        <v>4.9919999999999982</v>
      </c>
      <c r="DZ40" s="124">
        <f t="shared" ref="DZ40:DZ43" si="335">(DZ$44-DZ$39)/5+DZ39</f>
        <v>56.8</v>
      </c>
      <c r="EA40" s="124">
        <f t="shared" ref="EA40:EA43" si="336">(EA$44-EA$39)/5+EA39</f>
        <v>3.992</v>
      </c>
      <c r="EB40" s="124">
        <f t="shared" ref="EB40:EB43" si="337">(EB$44-EB$39)/5+EB39</f>
        <v>54</v>
      </c>
      <c r="EC40" s="124">
        <f t="shared" ref="EC40:EC43" si="338">(EC$44-EC$39)/5+EC39</f>
        <v>3.0920000000000001</v>
      </c>
      <c r="ED40" s="124">
        <f t="shared" ref="ED40:ED43" si="339">(ED$44-ED$39)/5+ED39</f>
        <v>86.7</v>
      </c>
      <c r="EE40" s="124">
        <f t="shared" ref="EE40:EE43" si="340">(EE$44-EE$39)/5+EE39</f>
        <v>4.9919999999999982</v>
      </c>
      <c r="EF40" s="124">
        <f t="shared" ref="EF40:EF43" si="341">(EF$44-EF$39)/5+EF39</f>
        <v>83.35</v>
      </c>
      <c r="EG40" s="124">
        <f t="shared" ref="EG40:EG43" si="342">(EG$44-EG$39)/5+EG39</f>
        <v>3.8920000000000003</v>
      </c>
      <c r="EH40" s="124">
        <f t="shared" ref="EH40:EH43" si="343">(EH$44-EH$39)/5+EH39</f>
        <v>80</v>
      </c>
      <c r="EI40" s="124">
        <f t="shared" ref="EI40:EI43" si="344">(EI$44-EI$39)/5+EI39</f>
        <v>3.0920000000000001</v>
      </c>
      <c r="EJ40" s="102">
        <f t="shared" si="295"/>
        <v>6.858823529411775</v>
      </c>
      <c r="EK40" s="102">
        <f t="shared" si="294"/>
        <v>5.2235294117647104</v>
      </c>
      <c r="EL40" s="102">
        <f t="shared" si="294"/>
        <v>6.5588235294117752</v>
      </c>
      <c r="EM40" s="102">
        <f t="shared" si="294"/>
        <v>3.988235294117652</v>
      </c>
      <c r="EN40" s="102">
        <f t="shared" si="294"/>
        <v>6.1235294117647134</v>
      </c>
      <c r="EO40" s="102">
        <f t="shared" si="294"/>
        <v>3.1705882352941215</v>
      </c>
      <c r="EP40" s="102">
        <f t="shared" si="144"/>
        <v>9.5090909090909133</v>
      </c>
      <c r="EQ40" s="102">
        <f t="shared" si="221"/>
        <v>5.7909090909090937</v>
      </c>
      <c r="ER40" s="102">
        <f t="shared" si="222"/>
        <v>9.2090909090909125</v>
      </c>
      <c r="ES40" s="102">
        <f t="shared" si="200"/>
        <v>4.4181818181818198</v>
      </c>
      <c r="ET40" s="102">
        <f t="shared" si="201"/>
        <v>8.718181818181824</v>
      </c>
      <c r="EU40" s="102">
        <f t="shared" si="202"/>
        <v>3.3454545454545466</v>
      </c>
      <c r="EV40" s="102">
        <f t="shared" si="203"/>
        <v>13.309090909090893</v>
      </c>
      <c r="EW40" s="102">
        <f t="shared" si="204"/>
        <v>6.0727272727272696</v>
      </c>
      <c r="EX40" s="102">
        <f t="shared" si="205"/>
        <v>12.636363636363654</v>
      </c>
      <c r="EY40" s="102">
        <f t="shared" si="206"/>
        <v>4.5272727272727229</v>
      </c>
      <c r="EZ40" s="102">
        <f t="shared" si="207"/>
        <v>11.763636363636348</v>
      </c>
      <c r="FA40" s="102">
        <f t="shared" si="208"/>
        <v>3.4363636363636347</v>
      </c>
      <c r="FB40" s="102">
        <f t="shared" si="209"/>
        <v>16.75454545454544</v>
      </c>
      <c r="FC40" s="102">
        <f t="shared" si="210"/>
        <v>6.0727272727272696</v>
      </c>
      <c r="FD40" s="102">
        <f t="shared" si="211"/>
        <v>15.981818181818166</v>
      </c>
      <c r="FE40" s="102">
        <f t="shared" si="212"/>
        <v>4.6181818181818199</v>
      </c>
      <c r="FF40" s="102">
        <f t="shared" si="213"/>
        <v>15.281818181818165</v>
      </c>
      <c r="FG40" s="102">
        <f t="shared" si="214"/>
        <v>3.6272727272727234</v>
      </c>
      <c r="FH40" s="102">
        <f t="shared" si="215"/>
        <v>21.090909090909065</v>
      </c>
      <c r="FI40" s="102">
        <f t="shared" si="216"/>
        <v>5.6090909090909173</v>
      </c>
      <c r="FJ40" s="102">
        <f t="shared" si="217"/>
        <v>20.099999999999987</v>
      </c>
      <c r="FK40" s="102">
        <f t="shared" si="218"/>
        <v>4.3272727272727236</v>
      </c>
      <c r="FL40" s="102">
        <f t="shared" si="219"/>
        <v>18.92727272727274</v>
      </c>
      <c r="FM40" s="102">
        <f t="shared" si="220"/>
        <v>3.3454545454545466</v>
      </c>
    </row>
    <row r="41" spans="1:169" s="89" customFormat="1" x14ac:dyDescent="0.25">
      <c r="A41" s="89">
        <v>9</v>
      </c>
      <c r="B41" s="120">
        <v>6.4099999999999993</v>
      </c>
      <c r="C41" s="120">
        <v>3.57</v>
      </c>
      <c r="D41" s="120">
        <v>8.77</v>
      </c>
      <c r="E41" s="120">
        <v>3.5799999999999996</v>
      </c>
      <c r="F41" s="120">
        <v>12.418571428571429</v>
      </c>
      <c r="G41" s="120">
        <v>3.5257142857142858</v>
      </c>
      <c r="H41" s="120">
        <v>15.08</v>
      </c>
      <c r="I41" s="120">
        <v>3.4000000000000008</v>
      </c>
      <c r="J41" s="120">
        <v>18.39</v>
      </c>
      <c r="K41" s="120">
        <v>3.4099999999999997</v>
      </c>
      <c r="L41" s="120">
        <v>6.2799999999999994</v>
      </c>
      <c r="M41" s="120">
        <v>3.08</v>
      </c>
      <c r="N41" s="120">
        <v>8.4</v>
      </c>
      <c r="O41" s="120">
        <v>3.2800000000000002</v>
      </c>
      <c r="P41" s="120">
        <v>12.272857142857141</v>
      </c>
      <c r="Q41" s="120">
        <v>2.9742857142857142</v>
      </c>
      <c r="R41" s="120">
        <v>14.950000000000001</v>
      </c>
      <c r="S41" s="120">
        <v>2.94</v>
      </c>
      <c r="T41" s="120">
        <v>17.03</v>
      </c>
      <c r="U41" s="120">
        <v>2.94</v>
      </c>
      <c r="V41" s="120">
        <v>5.9399999999999995</v>
      </c>
      <c r="W41" s="120">
        <v>2.42</v>
      </c>
      <c r="X41" s="120">
        <v>7.4500000000000011</v>
      </c>
      <c r="Y41" s="120">
        <v>2.5499999999999994</v>
      </c>
      <c r="Z41" s="120">
        <v>10.325714285714286</v>
      </c>
      <c r="AA41" s="120">
        <v>2.5042857142857144</v>
      </c>
      <c r="AB41" s="120">
        <v>14</v>
      </c>
      <c r="AC41" s="120">
        <v>2.3600000000000003</v>
      </c>
      <c r="AD41" s="120">
        <v>15.2</v>
      </c>
      <c r="AE41" s="120">
        <v>2.35</v>
      </c>
      <c r="AF41" s="125">
        <f t="shared" ref="AF41:AF43" si="345">(AF$44-AF$39)/5+AF40</f>
        <v>46.941379310344828</v>
      </c>
      <c r="AG41" s="125">
        <f t="shared" si="296"/>
        <v>4.8380000000000001</v>
      </c>
      <c r="AH41" s="125">
        <f t="shared" si="296"/>
        <v>54.452000000000005</v>
      </c>
      <c r="AI41" s="125">
        <f t="shared" si="296"/>
        <v>4.9279999999999999</v>
      </c>
      <c r="AJ41" s="125">
        <f t="shared" si="296"/>
        <v>70.41206896551725</v>
      </c>
      <c r="AK41" s="125">
        <f t="shared" si="296"/>
        <v>4.8079999999999998</v>
      </c>
      <c r="AL41" s="125">
        <f t="shared" si="296"/>
        <v>42.87931034482758</v>
      </c>
      <c r="AM41" s="125">
        <f t="shared" si="296"/>
        <v>3.8600000000000003</v>
      </c>
      <c r="AN41" s="125">
        <f t="shared" si="296"/>
        <v>49.74</v>
      </c>
      <c r="AO41" s="125">
        <f t="shared" si="296"/>
        <v>3.95</v>
      </c>
      <c r="AP41" s="125">
        <f t="shared" si="296"/>
        <v>64.318965517241381</v>
      </c>
      <c r="AQ41" s="125">
        <f t="shared" si="296"/>
        <v>3.8300000000000005</v>
      </c>
      <c r="AR41" s="125">
        <f t="shared" si="296"/>
        <v>38.765517241379307</v>
      </c>
      <c r="AS41" s="125">
        <f t="shared" si="296"/>
        <v>3.0680000000000001</v>
      </c>
      <c r="AT41" s="125">
        <f t="shared" si="296"/>
        <v>44.968000000000004</v>
      </c>
      <c r="AU41" s="125">
        <f t="shared" si="296"/>
        <v>3.1579999999999999</v>
      </c>
      <c r="AV41" s="125">
        <f t="shared" si="296"/>
        <v>58.148275862068971</v>
      </c>
      <c r="AW41" s="125">
        <f t="shared" si="296"/>
        <v>3.0380000000000003</v>
      </c>
      <c r="AX41" s="122">
        <f t="shared" ref="AX41:AX43" si="346">(AX$44-AX$39)/5+AX40</f>
        <v>7.1819999999999995</v>
      </c>
      <c r="AY41" s="122">
        <f t="shared" si="297"/>
        <v>4.7459999999999996</v>
      </c>
      <c r="AZ41" s="122">
        <f t="shared" si="297"/>
        <v>8.379999999999999</v>
      </c>
      <c r="BA41" s="122">
        <f t="shared" si="297"/>
        <v>4.4579999999999993</v>
      </c>
      <c r="BB41" s="122">
        <f t="shared" si="297"/>
        <v>11.248000000000001</v>
      </c>
      <c r="BC41" s="122">
        <f t="shared" si="297"/>
        <v>4.1640000000000006</v>
      </c>
      <c r="BD41" s="122">
        <f t="shared" si="297"/>
        <v>17.696000000000002</v>
      </c>
      <c r="BE41" s="122">
        <f t="shared" si="297"/>
        <v>4.5359999999999996</v>
      </c>
      <c r="BF41" s="122">
        <f t="shared" si="297"/>
        <v>6.9719999999999995</v>
      </c>
      <c r="BG41" s="122">
        <f t="shared" si="297"/>
        <v>3.9180000000000001</v>
      </c>
      <c r="BH41" s="122">
        <f t="shared" si="297"/>
        <v>8.1039999999999992</v>
      </c>
      <c r="BI41" s="122">
        <f t="shared" si="297"/>
        <v>3.6599999999999997</v>
      </c>
      <c r="BJ41" s="122">
        <f t="shared" si="297"/>
        <v>10.931999999999999</v>
      </c>
      <c r="BK41" s="122">
        <f t="shared" si="297"/>
        <v>3.4620000000000002</v>
      </c>
      <c r="BL41" s="122">
        <f t="shared" si="297"/>
        <v>16.91</v>
      </c>
      <c r="BM41" s="122">
        <f t="shared" si="297"/>
        <v>3.7519999999999998</v>
      </c>
      <c r="BN41" s="122">
        <f t="shared" si="297"/>
        <v>6.7479999999999993</v>
      </c>
      <c r="BO41" s="122">
        <f t="shared" si="297"/>
        <v>3.2720000000000002</v>
      </c>
      <c r="BP41" s="122">
        <f t="shared" si="297"/>
        <v>7.6959999999999997</v>
      </c>
      <c r="BQ41" s="122">
        <f t="shared" si="297"/>
        <v>3.028</v>
      </c>
      <c r="BR41" s="122">
        <f t="shared" si="297"/>
        <v>10.136000000000001</v>
      </c>
      <c r="BS41" s="122">
        <f t="shared" si="297"/>
        <v>2.8739999999999997</v>
      </c>
      <c r="BT41" s="122">
        <f t="shared" si="297"/>
        <v>15.914000000000001</v>
      </c>
      <c r="BU41" s="122">
        <f t="shared" si="297"/>
        <v>3.1399999999999997</v>
      </c>
      <c r="BV41" s="123">
        <v>22.9</v>
      </c>
      <c r="BW41" s="123">
        <f t="shared" ref="BW41:BW43" si="347">(BW$44-BW$39)/5+BW40</f>
        <v>5.5139999999999976</v>
      </c>
      <c r="BX41" s="123">
        <f t="shared" si="298"/>
        <v>23.1</v>
      </c>
      <c r="BY41" s="123">
        <f t="shared" si="298"/>
        <v>4.4139999999999979</v>
      </c>
      <c r="BZ41" s="123">
        <f t="shared" si="298"/>
        <v>23.3</v>
      </c>
      <c r="CA41" s="123">
        <f t="shared" si="298"/>
        <v>3.6440000000000001</v>
      </c>
      <c r="CB41" s="123">
        <f t="shared" si="298"/>
        <v>28.9</v>
      </c>
      <c r="CC41" s="123">
        <f t="shared" si="298"/>
        <v>5.5439999999999978</v>
      </c>
      <c r="CD41" s="123">
        <f t="shared" si="298"/>
        <v>29.1</v>
      </c>
      <c r="CE41" s="123">
        <f t="shared" si="298"/>
        <v>4.4239999999999977</v>
      </c>
      <c r="CF41" s="123">
        <f t="shared" si="298"/>
        <v>29.3</v>
      </c>
      <c r="CG41" s="123">
        <f t="shared" si="298"/>
        <v>3.5740000000000003</v>
      </c>
      <c r="CH41" s="123">
        <f t="shared" si="298"/>
        <v>38.700000000000003</v>
      </c>
      <c r="CI41" s="123">
        <f t="shared" si="298"/>
        <v>5.0939999999999976</v>
      </c>
      <c r="CJ41" s="123">
        <f t="shared" si="298"/>
        <v>38.5</v>
      </c>
      <c r="CK41" s="123">
        <f t="shared" si="298"/>
        <v>4.4139999999999979</v>
      </c>
      <c r="CL41" s="123">
        <f t="shared" si="298"/>
        <v>38.799999999999997</v>
      </c>
      <c r="CM41" s="123">
        <f t="shared" si="298"/>
        <v>3.5640000000000001</v>
      </c>
      <c r="CN41" s="123">
        <f t="shared" si="298"/>
        <v>47.5</v>
      </c>
      <c r="CO41" s="123">
        <f t="shared" si="298"/>
        <v>5.4039999999999981</v>
      </c>
      <c r="CP41" s="123">
        <f t="shared" si="299"/>
        <v>47</v>
      </c>
      <c r="CQ41" s="123">
        <f t="shared" si="300"/>
        <v>4.3939999999999984</v>
      </c>
      <c r="CR41" s="123">
        <f t="shared" si="301"/>
        <v>47.7</v>
      </c>
      <c r="CS41" s="123">
        <f t="shared" si="302"/>
        <v>3.6640000000000001</v>
      </c>
      <c r="CT41" s="123">
        <f t="shared" si="303"/>
        <v>54.9</v>
      </c>
      <c r="CU41" s="123">
        <f t="shared" si="304"/>
        <v>5.4039999999999981</v>
      </c>
      <c r="CV41" s="123">
        <f t="shared" si="305"/>
        <v>56.2</v>
      </c>
      <c r="CW41" s="123">
        <f t="shared" si="306"/>
        <v>4.3939999999999984</v>
      </c>
      <c r="CX41" s="123">
        <f t="shared" si="307"/>
        <v>57.2</v>
      </c>
      <c r="CY41" s="123">
        <f t="shared" si="308"/>
        <v>3.6640000000000001</v>
      </c>
      <c r="CZ41" s="123">
        <f t="shared" si="309"/>
        <v>64</v>
      </c>
      <c r="DA41" s="123">
        <f t="shared" si="310"/>
        <v>5.453999999999998</v>
      </c>
      <c r="DB41" s="123">
        <f t="shared" si="311"/>
        <v>64.7</v>
      </c>
      <c r="DC41" s="123">
        <f t="shared" si="312"/>
        <v>4.3739999999999979</v>
      </c>
      <c r="DD41" s="123">
        <f t="shared" si="313"/>
        <v>64</v>
      </c>
      <c r="DE41" s="123">
        <f t="shared" si="314"/>
        <v>3.464</v>
      </c>
      <c r="DF41" s="123">
        <f t="shared" si="315"/>
        <v>72.8</v>
      </c>
      <c r="DG41" s="123">
        <f t="shared" si="316"/>
        <v>5.2139999999999977</v>
      </c>
      <c r="DH41" s="123">
        <f t="shared" si="317"/>
        <v>74.099999999999994</v>
      </c>
      <c r="DI41" s="123">
        <f t="shared" si="318"/>
        <v>4.2539999999999978</v>
      </c>
      <c r="DJ41" s="123">
        <f t="shared" si="319"/>
        <v>73.900000000000006</v>
      </c>
      <c r="DK41" s="123">
        <f t="shared" si="320"/>
        <v>3.544</v>
      </c>
      <c r="DL41" s="123">
        <f t="shared" si="321"/>
        <v>78.3</v>
      </c>
      <c r="DM41" s="123">
        <f t="shared" si="322"/>
        <v>5.2639999999999976</v>
      </c>
      <c r="DN41" s="123">
        <f t="shared" si="323"/>
        <v>80.3</v>
      </c>
      <c r="DO41" s="123">
        <f t="shared" si="324"/>
        <v>4.3639999999999981</v>
      </c>
      <c r="DP41" s="123">
        <f t="shared" si="325"/>
        <v>81.099999999999994</v>
      </c>
      <c r="DQ41" s="123">
        <f t="shared" si="326"/>
        <v>3.6940000000000004</v>
      </c>
      <c r="DR41" s="124">
        <f t="shared" si="327"/>
        <v>44.6</v>
      </c>
      <c r="DS41" s="124">
        <f t="shared" si="328"/>
        <v>4.703999999999998</v>
      </c>
      <c r="DT41" s="124">
        <f t="shared" si="329"/>
        <v>42.8</v>
      </c>
      <c r="DU41" s="124">
        <f t="shared" si="330"/>
        <v>3.7040000000000002</v>
      </c>
      <c r="DV41" s="124">
        <f t="shared" si="331"/>
        <v>41</v>
      </c>
      <c r="DW41" s="124">
        <f t="shared" si="332"/>
        <v>3.1040000000000001</v>
      </c>
      <c r="DX41" s="124">
        <f t="shared" si="333"/>
        <v>59.6</v>
      </c>
      <c r="DY41" s="124">
        <f t="shared" si="334"/>
        <v>5.0039999999999978</v>
      </c>
      <c r="DZ41" s="124">
        <f t="shared" si="335"/>
        <v>56.8</v>
      </c>
      <c r="EA41" s="124">
        <f t="shared" si="336"/>
        <v>4.0039999999999996</v>
      </c>
      <c r="EB41" s="124">
        <f t="shared" si="337"/>
        <v>54</v>
      </c>
      <c r="EC41" s="124">
        <f t="shared" si="338"/>
        <v>3.1040000000000001</v>
      </c>
      <c r="ED41" s="124">
        <f t="shared" si="339"/>
        <v>86.7</v>
      </c>
      <c r="EE41" s="124">
        <f t="shared" si="340"/>
        <v>5.0039999999999978</v>
      </c>
      <c r="EF41" s="124">
        <f t="shared" si="341"/>
        <v>83.35</v>
      </c>
      <c r="EG41" s="124">
        <f t="shared" si="342"/>
        <v>3.9040000000000004</v>
      </c>
      <c r="EH41" s="124">
        <f t="shared" si="343"/>
        <v>80</v>
      </c>
      <c r="EI41" s="124">
        <f t="shared" si="344"/>
        <v>3.1040000000000001</v>
      </c>
      <c r="EJ41" s="102">
        <f t="shared" si="295"/>
        <v>6.9117647058823666</v>
      </c>
      <c r="EK41" s="102">
        <f t="shared" si="294"/>
        <v>5.2647058823529473</v>
      </c>
      <c r="EL41" s="102">
        <f t="shared" si="294"/>
        <v>6.6117647058823668</v>
      </c>
      <c r="EM41" s="102">
        <f t="shared" si="294"/>
        <v>4.0176470588235365</v>
      </c>
      <c r="EN41" s="102">
        <f t="shared" si="294"/>
        <v>6.1647058823529512</v>
      </c>
      <c r="EO41" s="102">
        <f t="shared" si="294"/>
        <v>3.1941176470588286</v>
      </c>
      <c r="EP41" s="102">
        <f t="shared" si="144"/>
        <v>9.6045454545454589</v>
      </c>
      <c r="EQ41" s="102">
        <f t="shared" si="221"/>
        <v>5.8454545454545483</v>
      </c>
      <c r="ER41" s="102">
        <f t="shared" si="222"/>
        <v>9.3045454545454582</v>
      </c>
      <c r="ES41" s="102">
        <f t="shared" si="200"/>
        <v>4.4590909090909108</v>
      </c>
      <c r="ET41" s="102">
        <f t="shared" si="201"/>
        <v>8.8090909090909157</v>
      </c>
      <c r="EU41" s="102">
        <f t="shared" si="202"/>
        <v>3.3727272727272739</v>
      </c>
      <c r="EV41" s="102">
        <f t="shared" si="203"/>
        <v>13.454545454545437</v>
      </c>
      <c r="EW41" s="102">
        <f t="shared" si="204"/>
        <v>6.1363636363636331</v>
      </c>
      <c r="EX41" s="102">
        <f t="shared" si="205"/>
        <v>12.768181818181837</v>
      </c>
      <c r="EY41" s="102">
        <f t="shared" si="206"/>
        <v>4.5636363636363591</v>
      </c>
      <c r="EZ41" s="102">
        <f t="shared" si="207"/>
        <v>11.881818181818165</v>
      </c>
      <c r="FA41" s="102">
        <f t="shared" si="208"/>
        <v>3.4681818181818165</v>
      </c>
      <c r="FB41" s="102">
        <f t="shared" si="209"/>
        <v>16.927272727272712</v>
      </c>
      <c r="FC41" s="102">
        <f t="shared" si="210"/>
        <v>6.1363636363636331</v>
      </c>
      <c r="FD41" s="102">
        <f t="shared" si="211"/>
        <v>16.140909090909076</v>
      </c>
      <c r="FE41" s="102">
        <f t="shared" si="212"/>
        <v>4.6590909090909109</v>
      </c>
      <c r="FF41" s="102">
        <f t="shared" si="213"/>
        <v>15.440909090909074</v>
      </c>
      <c r="FG41" s="102">
        <f t="shared" si="214"/>
        <v>3.6636363636363596</v>
      </c>
      <c r="FH41" s="102">
        <f t="shared" si="215"/>
        <v>21.295454545454518</v>
      </c>
      <c r="FI41" s="102">
        <f t="shared" si="216"/>
        <v>5.6545454545454632</v>
      </c>
      <c r="FJ41" s="102">
        <f t="shared" si="217"/>
        <v>20.299999999999986</v>
      </c>
      <c r="FK41" s="102">
        <f t="shared" si="218"/>
        <v>4.3636363636363598</v>
      </c>
      <c r="FL41" s="102">
        <f t="shared" si="219"/>
        <v>19.113636363636378</v>
      </c>
      <c r="FM41" s="102">
        <f t="shared" si="220"/>
        <v>3.3727272727272739</v>
      </c>
    </row>
    <row r="42" spans="1:169" s="89" customFormat="1" x14ac:dyDescent="0.25">
      <c r="A42" s="89">
        <v>10</v>
      </c>
      <c r="B42" s="120">
        <v>6.5287499999999987</v>
      </c>
      <c r="C42" s="120">
        <v>3.6174999999999997</v>
      </c>
      <c r="D42" s="120">
        <v>8.9324999999999992</v>
      </c>
      <c r="E42" s="120">
        <v>3.6274999999999995</v>
      </c>
      <c r="F42" s="120">
        <v>12.667857142857143</v>
      </c>
      <c r="G42" s="120">
        <v>3.5635714285714286</v>
      </c>
      <c r="H42" s="120">
        <v>15.36</v>
      </c>
      <c r="I42" s="120">
        <v>3.4450000000000007</v>
      </c>
      <c r="J42" s="120">
        <v>18.731250000000003</v>
      </c>
      <c r="K42" s="120">
        <v>3.4549999999999996</v>
      </c>
      <c r="L42" s="120">
        <v>6.3962499999999993</v>
      </c>
      <c r="M42" s="120">
        <v>3.1212499999999999</v>
      </c>
      <c r="N42" s="120">
        <v>8.5562500000000004</v>
      </c>
      <c r="O42" s="120">
        <v>3.3237500000000004</v>
      </c>
      <c r="P42" s="120">
        <v>12.519285714285715</v>
      </c>
      <c r="Q42" s="120">
        <v>3.0064285714285717</v>
      </c>
      <c r="R42" s="120">
        <v>15.227500000000001</v>
      </c>
      <c r="S42" s="120">
        <v>2.9787499999999998</v>
      </c>
      <c r="T42" s="120">
        <v>17.346250000000005</v>
      </c>
      <c r="U42" s="120">
        <v>2.9787499999999998</v>
      </c>
      <c r="V42" s="120">
        <v>6.0499999999999989</v>
      </c>
      <c r="W42" s="120">
        <v>2.4524999999999997</v>
      </c>
      <c r="X42" s="120">
        <v>7.588750000000001</v>
      </c>
      <c r="Y42" s="120">
        <v>2.5837499999999993</v>
      </c>
      <c r="Z42" s="120">
        <v>10.53857142857143</v>
      </c>
      <c r="AA42" s="120">
        <v>2.5314285714285716</v>
      </c>
      <c r="AB42" s="120">
        <v>14.26</v>
      </c>
      <c r="AC42" s="120">
        <v>2.3912500000000003</v>
      </c>
      <c r="AD42" s="120">
        <v>15.482499999999998</v>
      </c>
      <c r="AE42" s="120">
        <v>2.3812500000000001</v>
      </c>
      <c r="AF42" s="125">
        <f t="shared" si="345"/>
        <v>48.04137931034483</v>
      </c>
      <c r="AG42" s="125">
        <f t="shared" si="296"/>
        <v>4.9420000000000002</v>
      </c>
      <c r="AH42" s="125">
        <f t="shared" si="296"/>
        <v>55.728000000000009</v>
      </c>
      <c r="AI42" s="125">
        <f t="shared" si="296"/>
        <v>5.032</v>
      </c>
      <c r="AJ42" s="125">
        <f t="shared" si="296"/>
        <v>72.062068965517255</v>
      </c>
      <c r="AK42" s="125">
        <f t="shared" si="296"/>
        <v>4.9119999999999999</v>
      </c>
      <c r="AL42" s="125">
        <f t="shared" si="296"/>
        <v>43.896551724137922</v>
      </c>
      <c r="AM42" s="125">
        <f t="shared" si="296"/>
        <v>3.9400000000000004</v>
      </c>
      <c r="AN42" s="125">
        <f t="shared" si="296"/>
        <v>50.92</v>
      </c>
      <c r="AO42" s="125">
        <f t="shared" si="296"/>
        <v>4.03</v>
      </c>
      <c r="AP42" s="125">
        <f t="shared" si="296"/>
        <v>65.844827586206904</v>
      </c>
      <c r="AQ42" s="125">
        <f t="shared" si="296"/>
        <v>3.9100000000000006</v>
      </c>
      <c r="AR42" s="125">
        <f t="shared" si="296"/>
        <v>39.734482758620686</v>
      </c>
      <c r="AS42" s="125">
        <f t="shared" si="296"/>
        <v>3.1320000000000001</v>
      </c>
      <c r="AT42" s="125">
        <f t="shared" si="296"/>
        <v>46.092000000000006</v>
      </c>
      <c r="AU42" s="125">
        <f t="shared" si="296"/>
        <v>3.222</v>
      </c>
      <c r="AV42" s="125">
        <f t="shared" si="296"/>
        <v>59.601724137931043</v>
      </c>
      <c r="AW42" s="125">
        <f t="shared" si="296"/>
        <v>3.1020000000000003</v>
      </c>
      <c r="AX42" s="122">
        <f t="shared" si="346"/>
        <v>7.2579999999999991</v>
      </c>
      <c r="AY42" s="122">
        <f t="shared" si="297"/>
        <v>4.8839999999999995</v>
      </c>
      <c r="AZ42" s="122">
        <f t="shared" si="297"/>
        <v>8.4799999999999986</v>
      </c>
      <c r="BA42" s="122">
        <f t="shared" si="297"/>
        <v>4.581999999999999</v>
      </c>
      <c r="BB42" s="122">
        <f t="shared" si="297"/>
        <v>11.352000000000002</v>
      </c>
      <c r="BC42" s="122">
        <f t="shared" si="297"/>
        <v>4.2660000000000009</v>
      </c>
      <c r="BD42" s="122">
        <f t="shared" si="297"/>
        <v>17.824000000000002</v>
      </c>
      <c r="BE42" s="122">
        <f t="shared" si="297"/>
        <v>4.6439999999999992</v>
      </c>
      <c r="BF42" s="122">
        <f t="shared" si="297"/>
        <v>7.1279999999999992</v>
      </c>
      <c r="BG42" s="122">
        <f t="shared" si="297"/>
        <v>4.0019999999999998</v>
      </c>
      <c r="BH42" s="122">
        <f t="shared" si="297"/>
        <v>8.1859999999999999</v>
      </c>
      <c r="BI42" s="122">
        <f t="shared" si="297"/>
        <v>3.7499999999999996</v>
      </c>
      <c r="BJ42" s="122">
        <f t="shared" si="297"/>
        <v>11.047999999999998</v>
      </c>
      <c r="BK42" s="122">
        <f t="shared" si="297"/>
        <v>3.5380000000000003</v>
      </c>
      <c r="BL42" s="122">
        <f t="shared" si="297"/>
        <v>17.05</v>
      </c>
      <c r="BM42" s="122">
        <f t="shared" si="297"/>
        <v>3.8379999999999996</v>
      </c>
      <c r="BN42" s="122">
        <f t="shared" si="297"/>
        <v>6.911999999999999</v>
      </c>
      <c r="BO42" s="122">
        <f t="shared" si="297"/>
        <v>3.3280000000000003</v>
      </c>
      <c r="BP42" s="122">
        <f t="shared" si="297"/>
        <v>7.7839999999999998</v>
      </c>
      <c r="BQ42" s="122">
        <f t="shared" si="297"/>
        <v>3.0920000000000001</v>
      </c>
      <c r="BR42" s="122">
        <f t="shared" si="297"/>
        <v>10.334000000000001</v>
      </c>
      <c r="BS42" s="122">
        <f t="shared" si="297"/>
        <v>2.9359999999999995</v>
      </c>
      <c r="BT42" s="122">
        <f t="shared" si="297"/>
        <v>16.066000000000003</v>
      </c>
      <c r="BU42" s="122">
        <f t="shared" si="297"/>
        <v>3.2099999999999995</v>
      </c>
      <c r="BV42" s="123">
        <v>22.9</v>
      </c>
      <c r="BW42" s="123">
        <f t="shared" si="347"/>
        <v>5.5259999999999971</v>
      </c>
      <c r="BX42" s="123">
        <f t="shared" si="298"/>
        <v>23.1</v>
      </c>
      <c r="BY42" s="123">
        <f t="shared" si="298"/>
        <v>4.4259999999999975</v>
      </c>
      <c r="BZ42" s="123">
        <f t="shared" si="298"/>
        <v>23.3</v>
      </c>
      <c r="CA42" s="123">
        <f t="shared" si="298"/>
        <v>3.6560000000000001</v>
      </c>
      <c r="CB42" s="123">
        <f t="shared" si="298"/>
        <v>28.9</v>
      </c>
      <c r="CC42" s="123">
        <f t="shared" si="298"/>
        <v>5.5559999999999974</v>
      </c>
      <c r="CD42" s="123">
        <f t="shared" si="298"/>
        <v>29.1</v>
      </c>
      <c r="CE42" s="123">
        <f t="shared" si="298"/>
        <v>4.4359999999999973</v>
      </c>
      <c r="CF42" s="123">
        <f t="shared" si="298"/>
        <v>29.3</v>
      </c>
      <c r="CG42" s="123">
        <f t="shared" si="298"/>
        <v>3.5860000000000003</v>
      </c>
      <c r="CH42" s="123">
        <f t="shared" si="298"/>
        <v>38.700000000000003</v>
      </c>
      <c r="CI42" s="123">
        <f t="shared" si="298"/>
        <v>5.1059999999999972</v>
      </c>
      <c r="CJ42" s="123">
        <f t="shared" si="298"/>
        <v>38.5</v>
      </c>
      <c r="CK42" s="123">
        <f t="shared" si="298"/>
        <v>4.4259999999999975</v>
      </c>
      <c r="CL42" s="123">
        <f t="shared" si="298"/>
        <v>38.799999999999997</v>
      </c>
      <c r="CM42" s="123">
        <f t="shared" si="298"/>
        <v>3.5760000000000001</v>
      </c>
      <c r="CN42" s="123">
        <f t="shared" si="298"/>
        <v>47.5</v>
      </c>
      <c r="CO42" s="123">
        <f t="shared" si="298"/>
        <v>5.4159999999999977</v>
      </c>
      <c r="CP42" s="123">
        <f t="shared" si="299"/>
        <v>47</v>
      </c>
      <c r="CQ42" s="123">
        <f t="shared" si="300"/>
        <v>4.4059999999999979</v>
      </c>
      <c r="CR42" s="123">
        <f t="shared" si="301"/>
        <v>47.7</v>
      </c>
      <c r="CS42" s="123">
        <f t="shared" si="302"/>
        <v>3.6760000000000002</v>
      </c>
      <c r="CT42" s="123">
        <f t="shared" si="303"/>
        <v>54.9</v>
      </c>
      <c r="CU42" s="123">
        <f t="shared" si="304"/>
        <v>5.4159999999999977</v>
      </c>
      <c r="CV42" s="123">
        <f t="shared" si="305"/>
        <v>56.2</v>
      </c>
      <c r="CW42" s="123">
        <f t="shared" si="306"/>
        <v>4.4059999999999979</v>
      </c>
      <c r="CX42" s="123">
        <f t="shared" si="307"/>
        <v>57.2</v>
      </c>
      <c r="CY42" s="123">
        <f t="shared" si="308"/>
        <v>3.6760000000000002</v>
      </c>
      <c r="CZ42" s="123">
        <f t="shared" si="309"/>
        <v>64</v>
      </c>
      <c r="DA42" s="123">
        <f t="shared" si="310"/>
        <v>5.4659999999999975</v>
      </c>
      <c r="DB42" s="123">
        <f t="shared" si="311"/>
        <v>64.7</v>
      </c>
      <c r="DC42" s="123">
        <f t="shared" si="312"/>
        <v>4.3859999999999975</v>
      </c>
      <c r="DD42" s="123">
        <f t="shared" si="313"/>
        <v>64</v>
      </c>
      <c r="DE42" s="123">
        <f t="shared" si="314"/>
        <v>3.476</v>
      </c>
      <c r="DF42" s="123">
        <f t="shared" si="315"/>
        <v>72.8</v>
      </c>
      <c r="DG42" s="123">
        <f t="shared" si="316"/>
        <v>5.2259999999999973</v>
      </c>
      <c r="DH42" s="123">
        <f t="shared" si="317"/>
        <v>74.099999999999994</v>
      </c>
      <c r="DI42" s="123">
        <f t="shared" si="318"/>
        <v>4.2659999999999973</v>
      </c>
      <c r="DJ42" s="123">
        <f t="shared" si="319"/>
        <v>73.900000000000006</v>
      </c>
      <c r="DK42" s="123">
        <f t="shared" si="320"/>
        <v>3.556</v>
      </c>
      <c r="DL42" s="123">
        <f t="shared" si="321"/>
        <v>78.3</v>
      </c>
      <c r="DM42" s="123">
        <f t="shared" si="322"/>
        <v>5.2759999999999971</v>
      </c>
      <c r="DN42" s="123">
        <f t="shared" si="323"/>
        <v>80.3</v>
      </c>
      <c r="DO42" s="123">
        <f t="shared" si="324"/>
        <v>4.3759999999999977</v>
      </c>
      <c r="DP42" s="123">
        <f t="shared" si="325"/>
        <v>81.099999999999994</v>
      </c>
      <c r="DQ42" s="123">
        <f t="shared" si="326"/>
        <v>3.7060000000000004</v>
      </c>
      <c r="DR42" s="124">
        <f t="shared" si="327"/>
        <v>44.6</v>
      </c>
      <c r="DS42" s="124">
        <f t="shared" si="328"/>
        <v>4.7159999999999975</v>
      </c>
      <c r="DT42" s="124">
        <f t="shared" si="329"/>
        <v>42.8</v>
      </c>
      <c r="DU42" s="124">
        <f t="shared" si="330"/>
        <v>3.7160000000000002</v>
      </c>
      <c r="DV42" s="124">
        <f t="shared" si="331"/>
        <v>41</v>
      </c>
      <c r="DW42" s="124">
        <f t="shared" si="332"/>
        <v>3.1160000000000001</v>
      </c>
      <c r="DX42" s="124">
        <f t="shared" si="333"/>
        <v>59.6</v>
      </c>
      <c r="DY42" s="124">
        <f t="shared" si="334"/>
        <v>5.0159999999999973</v>
      </c>
      <c r="DZ42" s="124">
        <f t="shared" si="335"/>
        <v>56.8</v>
      </c>
      <c r="EA42" s="124">
        <f t="shared" si="336"/>
        <v>4.016</v>
      </c>
      <c r="EB42" s="124">
        <f t="shared" si="337"/>
        <v>54</v>
      </c>
      <c r="EC42" s="124">
        <f t="shared" si="338"/>
        <v>3.1160000000000001</v>
      </c>
      <c r="ED42" s="124">
        <f t="shared" si="339"/>
        <v>86.7</v>
      </c>
      <c r="EE42" s="124">
        <f t="shared" si="340"/>
        <v>5.0159999999999973</v>
      </c>
      <c r="EF42" s="124">
        <f t="shared" si="341"/>
        <v>83.35</v>
      </c>
      <c r="EG42" s="124">
        <f t="shared" si="342"/>
        <v>3.9160000000000004</v>
      </c>
      <c r="EH42" s="124">
        <f t="shared" si="343"/>
        <v>80</v>
      </c>
      <c r="EI42" s="124">
        <f t="shared" si="344"/>
        <v>3.1160000000000001</v>
      </c>
      <c r="EJ42" s="102">
        <f t="shared" si="295"/>
        <v>6.9647058823529582</v>
      </c>
      <c r="EK42" s="102">
        <f t="shared" si="294"/>
        <v>5.3058823529411843</v>
      </c>
      <c r="EL42" s="102">
        <f t="shared" si="294"/>
        <v>6.6647058823529584</v>
      </c>
      <c r="EM42" s="102">
        <f t="shared" si="294"/>
        <v>4.0470588235294205</v>
      </c>
      <c r="EN42" s="102">
        <f t="shared" si="294"/>
        <v>6.2058823529411891</v>
      </c>
      <c r="EO42" s="102">
        <f t="shared" si="294"/>
        <v>3.2176470588235357</v>
      </c>
      <c r="EP42" s="102">
        <v>9.6999999999999993</v>
      </c>
      <c r="EQ42" s="102">
        <v>5.9</v>
      </c>
      <c r="ER42" s="102">
        <v>9.4</v>
      </c>
      <c r="ES42" s="102">
        <v>4.5</v>
      </c>
      <c r="ET42" s="102">
        <v>8.9</v>
      </c>
      <c r="EU42" s="102">
        <v>3.4</v>
      </c>
      <c r="EV42" s="102">
        <v>13.6</v>
      </c>
      <c r="EW42" s="102">
        <v>6.2</v>
      </c>
      <c r="EX42" s="102">
        <v>12.9</v>
      </c>
      <c r="EY42" s="102">
        <v>4.5999999999999996</v>
      </c>
      <c r="EZ42" s="102">
        <v>12</v>
      </c>
      <c r="FA42" s="102">
        <v>3.5</v>
      </c>
      <c r="FB42" s="102">
        <v>17.100000000000001</v>
      </c>
      <c r="FC42" s="102">
        <v>6.2</v>
      </c>
      <c r="FD42" s="102">
        <v>16.3</v>
      </c>
      <c r="FE42" s="102">
        <v>4.7</v>
      </c>
      <c r="FF42" s="102">
        <v>15.6</v>
      </c>
      <c r="FG42" s="102">
        <v>3.7</v>
      </c>
      <c r="FH42" s="102">
        <v>21.5</v>
      </c>
      <c r="FI42" s="102">
        <v>5.7</v>
      </c>
      <c r="FJ42" s="102">
        <v>20.5</v>
      </c>
      <c r="FK42" s="102">
        <v>4.4000000000000004</v>
      </c>
      <c r="FL42" s="102">
        <v>19.3</v>
      </c>
      <c r="FM42" s="102">
        <v>3.4</v>
      </c>
    </row>
    <row r="43" spans="1:169" s="89" customFormat="1" x14ac:dyDescent="0.25">
      <c r="A43" s="89">
        <v>11</v>
      </c>
      <c r="B43" s="120">
        <v>6.6474999999999991</v>
      </c>
      <c r="C43" s="120">
        <v>3.665</v>
      </c>
      <c r="D43" s="120">
        <v>9.0949999999999989</v>
      </c>
      <c r="E43" s="120">
        <v>3.6749999999999998</v>
      </c>
      <c r="F43" s="120">
        <v>12.917142857142856</v>
      </c>
      <c r="G43" s="120">
        <v>3.6014285714285714</v>
      </c>
      <c r="H43" s="120">
        <v>15.64</v>
      </c>
      <c r="I43" s="120">
        <v>3.4900000000000011</v>
      </c>
      <c r="J43" s="120">
        <v>19.072500000000002</v>
      </c>
      <c r="K43" s="120">
        <v>3.4999999999999996</v>
      </c>
      <c r="L43" s="120">
        <v>6.5124999999999993</v>
      </c>
      <c r="M43" s="120">
        <v>3.1625000000000001</v>
      </c>
      <c r="N43" s="120">
        <v>8.7125000000000004</v>
      </c>
      <c r="O43" s="120">
        <v>3.3675000000000002</v>
      </c>
      <c r="P43" s="120">
        <v>12.765714285714285</v>
      </c>
      <c r="Q43" s="120">
        <v>3.0385714285714287</v>
      </c>
      <c r="R43" s="120">
        <v>15.505000000000001</v>
      </c>
      <c r="S43" s="120">
        <v>3.0175000000000001</v>
      </c>
      <c r="T43" s="120">
        <v>17.662500000000001</v>
      </c>
      <c r="U43" s="120">
        <v>3.0175000000000001</v>
      </c>
      <c r="V43" s="120">
        <v>6.1599999999999993</v>
      </c>
      <c r="W43" s="120">
        <v>2.4849999999999999</v>
      </c>
      <c r="X43" s="120">
        <v>7.7275000000000009</v>
      </c>
      <c r="Y43" s="120">
        <v>2.6174999999999993</v>
      </c>
      <c r="Z43" s="120">
        <v>10.751428571428573</v>
      </c>
      <c r="AA43" s="120">
        <v>2.5585714285714287</v>
      </c>
      <c r="AB43" s="120">
        <v>14.52</v>
      </c>
      <c r="AC43" s="120">
        <v>2.4225000000000003</v>
      </c>
      <c r="AD43" s="120">
        <v>15.764999999999999</v>
      </c>
      <c r="AE43" s="120">
        <v>2.4125000000000001</v>
      </c>
      <c r="AF43" s="125">
        <f t="shared" si="345"/>
        <v>49.141379310344831</v>
      </c>
      <c r="AG43" s="125">
        <f t="shared" si="296"/>
        <v>5.0460000000000003</v>
      </c>
      <c r="AH43" s="125">
        <f t="shared" si="296"/>
        <v>57.004000000000012</v>
      </c>
      <c r="AI43" s="125">
        <f t="shared" si="296"/>
        <v>5.1360000000000001</v>
      </c>
      <c r="AJ43" s="125">
        <f t="shared" si="296"/>
        <v>73.712068965517261</v>
      </c>
      <c r="AK43" s="125">
        <f t="shared" si="296"/>
        <v>5.016</v>
      </c>
      <c r="AL43" s="125">
        <f t="shared" si="296"/>
        <v>44.913793103448263</v>
      </c>
      <c r="AM43" s="125">
        <f t="shared" si="296"/>
        <v>4.0200000000000005</v>
      </c>
      <c r="AN43" s="125">
        <f t="shared" si="296"/>
        <v>52.1</v>
      </c>
      <c r="AO43" s="125">
        <f t="shared" si="296"/>
        <v>4.1100000000000003</v>
      </c>
      <c r="AP43" s="125">
        <f t="shared" si="296"/>
        <v>67.370689655172427</v>
      </c>
      <c r="AQ43" s="125">
        <f t="shared" si="296"/>
        <v>3.9900000000000007</v>
      </c>
      <c r="AR43" s="125">
        <f t="shared" si="296"/>
        <v>40.703448275862065</v>
      </c>
      <c r="AS43" s="125">
        <f t="shared" si="296"/>
        <v>3.1960000000000002</v>
      </c>
      <c r="AT43" s="125">
        <f t="shared" si="296"/>
        <v>47.216000000000008</v>
      </c>
      <c r="AU43" s="125">
        <f t="shared" si="296"/>
        <v>3.286</v>
      </c>
      <c r="AV43" s="125">
        <f t="shared" si="296"/>
        <v>61.055172413793116</v>
      </c>
      <c r="AW43" s="125">
        <f t="shared" si="296"/>
        <v>3.1660000000000004</v>
      </c>
      <c r="AX43" s="122">
        <f t="shared" si="346"/>
        <v>7.3339999999999987</v>
      </c>
      <c r="AY43" s="122">
        <f t="shared" si="297"/>
        <v>5.0219999999999994</v>
      </c>
      <c r="AZ43" s="122">
        <f t="shared" si="297"/>
        <v>8.5799999999999983</v>
      </c>
      <c r="BA43" s="122">
        <f t="shared" si="297"/>
        <v>4.7059999999999986</v>
      </c>
      <c r="BB43" s="122">
        <f t="shared" si="297"/>
        <v>11.456000000000003</v>
      </c>
      <c r="BC43" s="122">
        <f t="shared" si="297"/>
        <v>4.3680000000000012</v>
      </c>
      <c r="BD43" s="122">
        <f t="shared" si="297"/>
        <v>17.952000000000002</v>
      </c>
      <c r="BE43" s="122">
        <f t="shared" si="297"/>
        <v>4.7519999999999989</v>
      </c>
      <c r="BF43" s="122">
        <f t="shared" si="297"/>
        <v>7.2839999999999989</v>
      </c>
      <c r="BG43" s="122">
        <f t="shared" si="297"/>
        <v>4.0859999999999994</v>
      </c>
      <c r="BH43" s="122">
        <f t="shared" si="297"/>
        <v>8.2680000000000007</v>
      </c>
      <c r="BI43" s="122">
        <f t="shared" si="297"/>
        <v>3.8399999999999994</v>
      </c>
      <c r="BJ43" s="122">
        <f t="shared" si="297"/>
        <v>11.163999999999998</v>
      </c>
      <c r="BK43" s="122">
        <f t="shared" si="297"/>
        <v>3.6140000000000003</v>
      </c>
      <c r="BL43" s="122">
        <f t="shared" si="297"/>
        <v>17.190000000000001</v>
      </c>
      <c r="BM43" s="122">
        <f t="shared" si="297"/>
        <v>3.9239999999999995</v>
      </c>
      <c r="BN43" s="122">
        <f t="shared" si="297"/>
        <v>7.0759999999999987</v>
      </c>
      <c r="BO43" s="122">
        <f t="shared" si="297"/>
        <v>3.3840000000000003</v>
      </c>
      <c r="BP43" s="122">
        <f t="shared" si="297"/>
        <v>7.8719999999999999</v>
      </c>
      <c r="BQ43" s="122">
        <f t="shared" si="297"/>
        <v>3.1560000000000001</v>
      </c>
      <c r="BR43" s="122">
        <f t="shared" si="297"/>
        <v>10.532000000000002</v>
      </c>
      <c r="BS43" s="122">
        <f t="shared" si="297"/>
        <v>2.9979999999999993</v>
      </c>
      <c r="BT43" s="122">
        <f t="shared" si="297"/>
        <v>16.218000000000004</v>
      </c>
      <c r="BU43" s="122">
        <f t="shared" si="297"/>
        <v>3.2799999999999994</v>
      </c>
      <c r="BV43" s="123">
        <v>22.9</v>
      </c>
      <c r="BW43" s="123">
        <f t="shared" si="347"/>
        <v>5.5379999999999967</v>
      </c>
      <c r="BX43" s="123">
        <f t="shared" si="298"/>
        <v>23.1</v>
      </c>
      <c r="BY43" s="123">
        <f t="shared" si="298"/>
        <v>4.4379999999999971</v>
      </c>
      <c r="BZ43" s="123">
        <f t="shared" si="298"/>
        <v>23.3</v>
      </c>
      <c r="CA43" s="123">
        <f t="shared" si="298"/>
        <v>3.6680000000000001</v>
      </c>
      <c r="CB43" s="123">
        <f t="shared" si="298"/>
        <v>28.9</v>
      </c>
      <c r="CC43" s="123">
        <f t="shared" si="298"/>
        <v>5.567999999999997</v>
      </c>
      <c r="CD43" s="123">
        <f t="shared" si="298"/>
        <v>29.1</v>
      </c>
      <c r="CE43" s="123">
        <f t="shared" si="298"/>
        <v>4.4479999999999968</v>
      </c>
      <c r="CF43" s="123">
        <f t="shared" si="298"/>
        <v>29.3</v>
      </c>
      <c r="CG43" s="123">
        <f t="shared" si="298"/>
        <v>3.5980000000000003</v>
      </c>
      <c r="CH43" s="123">
        <f t="shared" si="298"/>
        <v>38.700000000000003</v>
      </c>
      <c r="CI43" s="123">
        <f t="shared" si="298"/>
        <v>5.1179999999999968</v>
      </c>
      <c r="CJ43" s="123">
        <f t="shared" si="298"/>
        <v>38.5</v>
      </c>
      <c r="CK43" s="123">
        <f t="shared" si="298"/>
        <v>4.4379999999999971</v>
      </c>
      <c r="CL43" s="123">
        <f t="shared" si="298"/>
        <v>38.799999999999997</v>
      </c>
      <c r="CM43" s="123">
        <f t="shared" si="298"/>
        <v>3.5880000000000001</v>
      </c>
      <c r="CN43" s="123">
        <f t="shared" si="298"/>
        <v>47.5</v>
      </c>
      <c r="CO43" s="123">
        <f t="shared" si="298"/>
        <v>5.4279999999999973</v>
      </c>
      <c r="CP43" s="123">
        <f t="shared" si="299"/>
        <v>47</v>
      </c>
      <c r="CQ43" s="123">
        <f t="shared" si="300"/>
        <v>4.4179999999999975</v>
      </c>
      <c r="CR43" s="123">
        <f t="shared" si="301"/>
        <v>47.7</v>
      </c>
      <c r="CS43" s="123">
        <f t="shared" si="302"/>
        <v>3.6880000000000002</v>
      </c>
      <c r="CT43" s="123">
        <f t="shared" si="303"/>
        <v>54.9</v>
      </c>
      <c r="CU43" s="123">
        <f t="shared" si="304"/>
        <v>5.4279999999999973</v>
      </c>
      <c r="CV43" s="123">
        <f t="shared" si="305"/>
        <v>56.2</v>
      </c>
      <c r="CW43" s="123">
        <f t="shared" si="306"/>
        <v>4.4179999999999975</v>
      </c>
      <c r="CX43" s="123">
        <f t="shared" si="307"/>
        <v>57.2</v>
      </c>
      <c r="CY43" s="123">
        <f t="shared" si="308"/>
        <v>3.6880000000000002</v>
      </c>
      <c r="CZ43" s="123">
        <f t="shared" si="309"/>
        <v>64</v>
      </c>
      <c r="DA43" s="123">
        <f t="shared" si="310"/>
        <v>5.4779999999999971</v>
      </c>
      <c r="DB43" s="123">
        <f t="shared" si="311"/>
        <v>64.7</v>
      </c>
      <c r="DC43" s="123">
        <f t="shared" si="312"/>
        <v>4.397999999999997</v>
      </c>
      <c r="DD43" s="123">
        <f t="shared" si="313"/>
        <v>64</v>
      </c>
      <c r="DE43" s="123">
        <f t="shared" si="314"/>
        <v>3.488</v>
      </c>
      <c r="DF43" s="123">
        <f t="shared" si="315"/>
        <v>72.8</v>
      </c>
      <c r="DG43" s="123">
        <f t="shared" si="316"/>
        <v>5.2379999999999969</v>
      </c>
      <c r="DH43" s="123">
        <f t="shared" si="317"/>
        <v>74.099999999999994</v>
      </c>
      <c r="DI43" s="123">
        <f t="shared" si="318"/>
        <v>4.2779999999999969</v>
      </c>
      <c r="DJ43" s="123">
        <f t="shared" si="319"/>
        <v>73.900000000000006</v>
      </c>
      <c r="DK43" s="123">
        <f t="shared" si="320"/>
        <v>3.5680000000000001</v>
      </c>
      <c r="DL43" s="123">
        <f t="shared" si="321"/>
        <v>78.3</v>
      </c>
      <c r="DM43" s="123">
        <f t="shared" si="322"/>
        <v>5.2879999999999967</v>
      </c>
      <c r="DN43" s="123">
        <f t="shared" si="323"/>
        <v>80.3</v>
      </c>
      <c r="DO43" s="123">
        <f t="shared" si="324"/>
        <v>4.3879999999999972</v>
      </c>
      <c r="DP43" s="123">
        <f t="shared" si="325"/>
        <v>81.099999999999994</v>
      </c>
      <c r="DQ43" s="123">
        <f t="shared" si="326"/>
        <v>3.7180000000000004</v>
      </c>
      <c r="DR43" s="124">
        <f t="shared" si="327"/>
        <v>44.6</v>
      </c>
      <c r="DS43" s="124">
        <f t="shared" si="328"/>
        <v>4.7279999999999971</v>
      </c>
      <c r="DT43" s="124">
        <f t="shared" si="329"/>
        <v>42.8</v>
      </c>
      <c r="DU43" s="124">
        <f t="shared" si="330"/>
        <v>3.7280000000000002</v>
      </c>
      <c r="DV43" s="124">
        <f t="shared" si="331"/>
        <v>41</v>
      </c>
      <c r="DW43" s="124">
        <f t="shared" si="332"/>
        <v>3.1280000000000001</v>
      </c>
      <c r="DX43" s="124">
        <f t="shared" si="333"/>
        <v>59.6</v>
      </c>
      <c r="DY43" s="124">
        <f t="shared" si="334"/>
        <v>5.0279999999999969</v>
      </c>
      <c r="DZ43" s="124">
        <f t="shared" si="335"/>
        <v>56.8</v>
      </c>
      <c r="EA43" s="124">
        <f t="shared" si="336"/>
        <v>4.0280000000000005</v>
      </c>
      <c r="EB43" s="124">
        <f t="shared" si="337"/>
        <v>54</v>
      </c>
      <c r="EC43" s="124">
        <f t="shared" si="338"/>
        <v>3.1280000000000001</v>
      </c>
      <c r="ED43" s="124">
        <f t="shared" si="339"/>
        <v>86.7</v>
      </c>
      <c r="EE43" s="124">
        <f t="shared" si="340"/>
        <v>5.0279999999999969</v>
      </c>
      <c r="EF43" s="124">
        <f t="shared" si="341"/>
        <v>83.35</v>
      </c>
      <c r="EG43" s="124">
        <f t="shared" si="342"/>
        <v>3.9280000000000004</v>
      </c>
      <c r="EH43" s="124">
        <f t="shared" si="343"/>
        <v>80</v>
      </c>
      <c r="EI43" s="124">
        <f t="shared" si="344"/>
        <v>3.1280000000000001</v>
      </c>
      <c r="EJ43" s="102">
        <f>EJ42</f>
        <v>6.9647058823529582</v>
      </c>
      <c r="EK43" s="102">
        <f t="shared" ref="EK43:EO43" si="348">EK42</f>
        <v>5.3058823529411843</v>
      </c>
      <c r="EL43" s="102">
        <f t="shared" si="348"/>
        <v>6.6647058823529584</v>
      </c>
      <c r="EM43" s="102">
        <f t="shared" si="348"/>
        <v>4.0470588235294205</v>
      </c>
      <c r="EN43" s="102">
        <f t="shared" si="348"/>
        <v>6.2058823529411891</v>
      </c>
      <c r="EO43" s="102">
        <f t="shared" si="348"/>
        <v>3.2176470588235357</v>
      </c>
      <c r="EP43" s="102">
        <v>9.6999999999999993</v>
      </c>
      <c r="EQ43" s="102">
        <v>5.9</v>
      </c>
      <c r="ER43" s="102">
        <v>9.4</v>
      </c>
      <c r="ES43" s="102">
        <v>4.5</v>
      </c>
      <c r="ET43" s="102">
        <v>8.9</v>
      </c>
      <c r="EU43" s="102">
        <v>3.4</v>
      </c>
      <c r="EV43" s="102">
        <v>13.6</v>
      </c>
      <c r="EW43" s="102">
        <v>6.2</v>
      </c>
      <c r="EX43" s="102">
        <v>12.9</v>
      </c>
      <c r="EY43" s="102">
        <v>4.5999999999999996</v>
      </c>
      <c r="EZ43" s="102">
        <v>12</v>
      </c>
      <c r="FA43" s="102">
        <v>3.5</v>
      </c>
      <c r="FB43" s="102">
        <v>17.100000000000001</v>
      </c>
      <c r="FC43" s="102">
        <v>6.2</v>
      </c>
      <c r="FD43" s="102">
        <v>16.3</v>
      </c>
      <c r="FE43" s="102">
        <v>4.7</v>
      </c>
      <c r="FF43" s="102">
        <v>15.6</v>
      </c>
      <c r="FG43" s="102">
        <v>3.7</v>
      </c>
      <c r="FH43" s="102">
        <v>21.5</v>
      </c>
      <c r="FI43" s="102">
        <v>5.7</v>
      </c>
      <c r="FJ43" s="102">
        <v>20.5</v>
      </c>
      <c r="FK43" s="102">
        <v>4.4000000000000004</v>
      </c>
      <c r="FL43" s="102">
        <v>19.3</v>
      </c>
      <c r="FM43" s="102">
        <v>3.4</v>
      </c>
    </row>
    <row r="44" spans="1:169" s="89" customFormat="1" x14ac:dyDescent="0.25">
      <c r="A44" s="89">
        <v>12</v>
      </c>
      <c r="B44" s="120">
        <v>6.7662499999999994</v>
      </c>
      <c r="C44" s="120">
        <v>3.7124999999999999</v>
      </c>
      <c r="D44" s="120">
        <v>9.2575000000000003</v>
      </c>
      <c r="E44" s="120">
        <v>3.7224999999999997</v>
      </c>
      <c r="F44" s="120">
        <v>13.166428571428572</v>
      </c>
      <c r="G44" s="120">
        <v>3.6392857142857142</v>
      </c>
      <c r="H44" s="120">
        <v>15.92</v>
      </c>
      <c r="I44" s="120">
        <v>3.535000000000001</v>
      </c>
      <c r="J44" s="120">
        <v>19.41375</v>
      </c>
      <c r="K44" s="120">
        <v>3.5449999999999999</v>
      </c>
      <c r="L44" s="120">
        <v>6.6287499999999993</v>
      </c>
      <c r="M44" s="120">
        <v>3.2037500000000003</v>
      </c>
      <c r="N44" s="120">
        <v>8.8687500000000004</v>
      </c>
      <c r="O44" s="120">
        <v>3.4112500000000003</v>
      </c>
      <c r="P44" s="120">
        <v>13.012142857142855</v>
      </c>
      <c r="Q44" s="120">
        <v>3.0707142857142857</v>
      </c>
      <c r="R44" s="120">
        <v>15.782500000000002</v>
      </c>
      <c r="S44" s="120">
        <v>3.0562499999999999</v>
      </c>
      <c r="T44" s="120">
        <v>17.978750000000005</v>
      </c>
      <c r="U44" s="120">
        <v>3.0562499999999999</v>
      </c>
      <c r="V44" s="120">
        <v>6.27</v>
      </c>
      <c r="W44" s="120">
        <v>2.5175000000000001</v>
      </c>
      <c r="X44" s="120">
        <v>7.8662500000000009</v>
      </c>
      <c r="Y44" s="120">
        <v>2.6512499999999992</v>
      </c>
      <c r="Z44" s="120">
        <v>10.964285714285715</v>
      </c>
      <c r="AA44" s="120">
        <v>2.5857142857142859</v>
      </c>
      <c r="AB44" s="120">
        <v>14.780000000000001</v>
      </c>
      <c r="AC44" s="120">
        <v>2.4537500000000003</v>
      </c>
      <c r="AD44" s="120">
        <v>16.047499999999999</v>
      </c>
      <c r="AE44" s="120">
        <v>2.4437500000000001</v>
      </c>
      <c r="AF44" s="125">
        <v>50.241379310344826</v>
      </c>
      <c r="AG44" s="125">
        <v>5.15</v>
      </c>
      <c r="AH44" s="125">
        <v>58.28</v>
      </c>
      <c r="AI44" s="125">
        <v>5.24</v>
      </c>
      <c r="AJ44" s="125">
        <v>75.362068965517238</v>
      </c>
      <c r="AK44" s="125">
        <v>5.12</v>
      </c>
      <c r="AL44" s="125">
        <v>45.931034482758619</v>
      </c>
      <c r="AM44" s="125">
        <v>4.1000000000000005</v>
      </c>
      <c r="AN44" s="125">
        <v>53.28</v>
      </c>
      <c r="AO44" s="125">
        <v>4.1900000000000004</v>
      </c>
      <c r="AP44" s="125">
        <v>68.896551724137936</v>
      </c>
      <c r="AQ44" s="125">
        <v>4.07</v>
      </c>
      <c r="AR44" s="125">
        <v>41.672413793103452</v>
      </c>
      <c r="AS44" s="125">
        <v>3.2600000000000002</v>
      </c>
      <c r="AT44" s="125">
        <v>48.34</v>
      </c>
      <c r="AU44" s="125">
        <v>3.35</v>
      </c>
      <c r="AV44" s="125">
        <v>62.508620689655174</v>
      </c>
      <c r="AW44" s="125">
        <v>3.2300000000000004</v>
      </c>
      <c r="AX44" s="122">
        <v>7.41</v>
      </c>
      <c r="AY44" s="122">
        <v>5.16</v>
      </c>
      <c r="AZ44" s="122">
        <v>8.68</v>
      </c>
      <c r="BA44" s="122">
        <v>4.83</v>
      </c>
      <c r="BB44" s="122">
        <v>11.56</v>
      </c>
      <c r="BC44" s="122">
        <v>4.47</v>
      </c>
      <c r="BD44" s="122">
        <v>18.079999999999998</v>
      </c>
      <c r="BE44" s="122">
        <v>4.8600000000000003</v>
      </c>
      <c r="BF44" s="122">
        <v>7.44</v>
      </c>
      <c r="BG44" s="122">
        <v>4.17</v>
      </c>
      <c r="BH44" s="122">
        <v>8.35</v>
      </c>
      <c r="BI44" s="122">
        <v>3.93</v>
      </c>
      <c r="BJ44" s="122">
        <v>11.28</v>
      </c>
      <c r="BK44" s="122">
        <v>3.69</v>
      </c>
      <c r="BL44" s="122">
        <v>17.329999999999998</v>
      </c>
      <c r="BM44" s="122">
        <v>4.01</v>
      </c>
      <c r="BN44" s="122">
        <v>7.24</v>
      </c>
      <c r="BO44" s="122">
        <v>3.44</v>
      </c>
      <c r="BP44" s="122">
        <v>7.96</v>
      </c>
      <c r="BQ44" s="122">
        <v>3.22</v>
      </c>
      <c r="BR44" s="122">
        <v>10.73</v>
      </c>
      <c r="BS44" s="122">
        <v>3.06</v>
      </c>
      <c r="BT44" s="122">
        <v>16.37</v>
      </c>
      <c r="BU44" s="122">
        <v>3.35</v>
      </c>
      <c r="BV44" s="123">
        <v>22.9</v>
      </c>
      <c r="BW44" s="123">
        <v>5.549999999999998</v>
      </c>
      <c r="BX44" s="123">
        <v>23.1</v>
      </c>
      <c r="BY44" s="123">
        <v>4.4499999999999984</v>
      </c>
      <c r="BZ44" s="123">
        <v>23.3</v>
      </c>
      <c r="CA44" s="123">
        <v>3.68</v>
      </c>
      <c r="CB44" s="123">
        <v>28.9</v>
      </c>
      <c r="CC44" s="123">
        <v>5.5799999999999983</v>
      </c>
      <c r="CD44" s="123">
        <v>29.1</v>
      </c>
      <c r="CE44" s="123">
        <v>4.4599999999999982</v>
      </c>
      <c r="CF44" s="123">
        <v>29.3</v>
      </c>
      <c r="CG44" s="123">
        <v>3.6100000000000003</v>
      </c>
      <c r="CH44" s="123">
        <v>38.700000000000003</v>
      </c>
      <c r="CI44" s="123">
        <v>5.1299999999999981</v>
      </c>
      <c r="CJ44" s="123">
        <v>38.5</v>
      </c>
      <c r="CK44" s="123">
        <v>4.4499999999999984</v>
      </c>
      <c r="CL44" s="123">
        <v>38.799999999999997</v>
      </c>
      <c r="CM44" s="123">
        <v>3.6</v>
      </c>
      <c r="CN44" s="123">
        <v>47.5</v>
      </c>
      <c r="CO44" s="123">
        <v>5.4399999999999986</v>
      </c>
      <c r="CP44" s="123">
        <v>47</v>
      </c>
      <c r="CQ44" s="123">
        <v>4.4299999999999988</v>
      </c>
      <c r="CR44" s="123">
        <v>47.7</v>
      </c>
      <c r="CS44" s="123">
        <v>3.7</v>
      </c>
      <c r="CT44" s="123">
        <v>54.9</v>
      </c>
      <c r="CU44" s="123">
        <v>5.4399999999999986</v>
      </c>
      <c r="CV44" s="123">
        <v>56.2</v>
      </c>
      <c r="CW44" s="123">
        <v>4.4299999999999988</v>
      </c>
      <c r="CX44" s="123">
        <v>57.2</v>
      </c>
      <c r="CY44" s="123">
        <v>3.7</v>
      </c>
      <c r="CZ44" s="123">
        <v>64</v>
      </c>
      <c r="DA44" s="123">
        <v>5.4899999999999984</v>
      </c>
      <c r="DB44" s="123">
        <v>64.7</v>
      </c>
      <c r="DC44" s="123">
        <v>4.4099999999999984</v>
      </c>
      <c r="DD44" s="123">
        <v>64</v>
      </c>
      <c r="DE44" s="123">
        <v>3.5</v>
      </c>
      <c r="DF44" s="123">
        <v>72.8</v>
      </c>
      <c r="DG44" s="123">
        <v>5.2499999999999982</v>
      </c>
      <c r="DH44" s="123">
        <v>74.099999999999994</v>
      </c>
      <c r="DI44" s="123">
        <v>4.2899999999999983</v>
      </c>
      <c r="DJ44" s="123">
        <v>73.900000000000006</v>
      </c>
      <c r="DK44" s="123">
        <v>3.58</v>
      </c>
      <c r="DL44" s="123">
        <v>78.3</v>
      </c>
      <c r="DM44" s="123">
        <v>5.299999999999998</v>
      </c>
      <c r="DN44" s="123">
        <v>80.3</v>
      </c>
      <c r="DO44" s="123">
        <v>4.3999999999999986</v>
      </c>
      <c r="DP44" s="123">
        <v>81.099999999999994</v>
      </c>
      <c r="DQ44" s="123">
        <v>3.7300000000000004</v>
      </c>
      <c r="DR44" s="124">
        <v>44.6</v>
      </c>
      <c r="DS44" s="124">
        <v>4.7399999999999984</v>
      </c>
      <c r="DT44" s="124">
        <v>42.8</v>
      </c>
      <c r="DU44" s="124">
        <v>3.74</v>
      </c>
      <c r="DV44" s="124">
        <v>41</v>
      </c>
      <c r="DW44" s="124">
        <v>3.14</v>
      </c>
      <c r="DX44" s="124">
        <v>59.6</v>
      </c>
      <c r="DY44" s="124">
        <v>5.0399999999999983</v>
      </c>
      <c r="DZ44" s="124">
        <v>56.8</v>
      </c>
      <c r="EA44" s="124">
        <v>4.04</v>
      </c>
      <c r="EB44" s="124">
        <v>54</v>
      </c>
      <c r="EC44" s="124">
        <v>3.14</v>
      </c>
      <c r="ED44" s="124">
        <v>86.7</v>
      </c>
      <c r="EE44" s="124">
        <v>5.0399999999999983</v>
      </c>
      <c r="EF44" s="124">
        <v>83.35</v>
      </c>
      <c r="EG44" s="124">
        <v>3.9400000000000004</v>
      </c>
      <c r="EH44" s="124">
        <v>80</v>
      </c>
      <c r="EI44" s="124">
        <v>3.14</v>
      </c>
      <c r="EJ44" s="102">
        <f t="shared" ref="EJ44:EJ52" si="349">EJ43</f>
        <v>6.9647058823529582</v>
      </c>
      <c r="EK44" s="102">
        <f t="shared" ref="EK44:EK52" si="350">EK43</f>
        <v>5.3058823529411843</v>
      </c>
      <c r="EL44" s="102">
        <f t="shared" ref="EL44:EL52" si="351">EL43</f>
        <v>6.6647058823529584</v>
      </c>
      <c r="EM44" s="102">
        <f t="shared" ref="EM44:EM52" si="352">EM43</f>
        <v>4.0470588235294205</v>
      </c>
      <c r="EN44" s="102">
        <f t="shared" ref="EN44:EN52" si="353">EN43</f>
        <v>6.2058823529411891</v>
      </c>
      <c r="EO44" s="102">
        <f t="shared" ref="EO44:EO52" si="354">EO43</f>
        <v>3.2176470588235357</v>
      </c>
      <c r="EP44" s="102">
        <v>9.6999999999999993</v>
      </c>
      <c r="EQ44" s="102">
        <v>5.9</v>
      </c>
      <c r="ER44" s="102">
        <v>9.4</v>
      </c>
      <c r="ES44" s="102">
        <v>4.5</v>
      </c>
      <c r="ET44" s="102">
        <v>8.9</v>
      </c>
      <c r="EU44" s="102">
        <v>3.4</v>
      </c>
      <c r="EV44" s="102">
        <v>13.6</v>
      </c>
      <c r="EW44" s="102">
        <v>6.2</v>
      </c>
      <c r="EX44" s="102">
        <v>12.9</v>
      </c>
      <c r="EY44" s="102">
        <v>4.5999999999999996</v>
      </c>
      <c r="EZ44" s="102">
        <v>12</v>
      </c>
      <c r="FA44" s="102">
        <v>3.5</v>
      </c>
      <c r="FB44" s="102">
        <v>17.100000000000001</v>
      </c>
      <c r="FC44" s="102">
        <v>6.2</v>
      </c>
      <c r="FD44" s="102">
        <v>16.3</v>
      </c>
      <c r="FE44" s="102">
        <v>4.7</v>
      </c>
      <c r="FF44" s="102">
        <v>15.6</v>
      </c>
      <c r="FG44" s="102">
        <v>3.7</v>
      </c>
      <c r="FH44" s="102">
        <v>21.5</v>
      </c>
      <c r="FI44" s="102">
        <v>5.7</v>
      </c>
      <c r="FJ44" s="102">
        <v>20.5</v>
      </c>
      <c r="FK44" s="102">
        <v>4.4000000000000004</v>
      </c>
      <c r="FL44" s="102">
        <v>19.3</v>
      </c>
      <c r="FM44" s="102">
        <v>3.4</v>
      </c>
    </row>
    <row r="45" spans="1:169" s="89" customFormat="1" x14ac:dyDescent="0.25">
      <c r="A45" s="89">
        <v>13</v>
      </c>
      <c r="B45" s="120">
        <v>6.8849999999999998</v>
      </c>
      <c r="C45" s="120">
        <v>3.76</v>
      </c>
      <c r="D45" s="120">
        <v>9.4199999999999982</v>
      </c>
      <c r="E45" s="120">
        <v>3.7699999999999996</v>
      </c>
      <c r="F45" s="120">
        <v>13.415714285714287</v>
      </c>
      <c r="G45" s="120">
        <v>3.6771428571428575</v>
      </c>
      <c r="H45" s="120">
        <v>16.2</v>
      </c>
      <c r="I45" s="120">
        <v>3.580000000000001</v>
      </c>
      <c r="J45" s="120">
        <v>19.755000000000003</v>
      </c>
      <c r="K45" s="120">
        <v>3.59</v>
      </c>
      <c r="L45" s="120">
        <v>6.7449999999999992</v>
      </c>
      <c r="M45" s="120">
        <v>3.2450000000000001</v>
      </c>
      <c r="N45" s="120">
        <v>9.0250000000000004</v>
      </c>
      <c r="O45" s="120">
        <v>3.4550000000000001</v>
      </c>
      <c r="P45" s="120">
        <v>13.258571428571429</v>
      </c>
      <c r="Q45" s="120">
        <v>3.1028571428571432</v>
      </c>
      <c r="R45" s="120">
        <v>16.060000000000002</v>
      </c>
      <c r="S45" s="120">
        <v>3.0949999999999998</v>
      </c>
      <c r="T45" s="120">
        <v>18.295000000000002</v>
      </c>
      <c r="U45" s="120">
        <v>3.0949999999999998</v>
      </c>
      <c r="V45" s="120">
        <v>6.379999999999999</v>
      </c>
      <c r="W45" s="120">
        <v>2.5499999999999998</v>
      </c>
      <c r="X45" s="120">
        <v>8.0050000000000008</v>
      </c>
      <c r="Y45" s="120">
        <v>2.6849999999999992</v>
      </c>
      <c r="Z45" s="120">
        <v>11.177142857142858</v>
      </c>
      <c r="AA45" s="120">
        <v>2.612857142857143</v>
      </c>
      <c r="AB45" s="120">
        <v>15.04</v>
      </c>
      <c r="AC45" s="120">
        <v>2.4850000000000003</v>
      </c>
      <c r="AD45" s="120">
        <v>16.329999999999998</v>
      </c>
      <c r="AE45" s="120">
        <v>2.4750000000000001</v>
      </c>
      <c r="AF45" s="125">
        <f>(AF$52-AF$44)/8+AF44</f>
        <v>50.747456896551725</v>
      </c>
      <c r="AG45" s="125">
        <f t="shared" ref="AG45:AW51" si="355">(AG$52-AG$44)/8+AG44</f>
        <v>5.3450000000000006</v>
      </c>
      <c r="AH45" s="125">
        <f t="shared" si="355"/>
        <v>58.8675</v>
      </c>
      <c r="AI45" s="125">
        <f t="shared" si="355"/>
        <v>5.4350000000000005</v>
      </c>
      <c r="AJ45" s="125">
        <f t="shared" si="355"/>
        <v>76.12181034482758</v>
      </c>
      <c r="AK45" s="125">
        <f t="shared" si="355"/>
        <v>5.3150000000000004</v>
      </c>
      <c r="AL45" s="125">
        <f t="shared" si="355"/>
        <v>46.44340517241379</v>
      </c>
      <c r="AM45" s="125">
        <f t="shared" si="355"/>
        <v>4.2325000000000008</v>
      </c>
      <c r="AN45" s="125">
        <f t="shared" si="355"/>
        <v>53.875</v>
      </c>
      <c r="AO45" s="125">
        <f t="shared" si="355"/>
        <v>4.3225000000000007</v>
      </c>
      <c r="AP45" s="125">
        <f t="shared" si="355"/>
        <v>69.665732758620692</v>
      </c>
      <c r="AQ45" s="125">
        <f t="shared" si="355"/>
        <v>4.2050000000000001</v>
      </c>
      <c r="AR45" s="125">
        <f t="shared" si="355"/>
        <v>42.207112068965522</v>
      </c>
      <c r="AS45" s="125">
        <f t="shared" si="355"/>
        <v>3.3375000000000004</v>
      </c>
      <c r="AT45" s="125">
        <f t="shared" si="355"/>
        <v>48.96</v>
      </c>
      <c r="AU45" s="125">
        <f t="shared" si="355"/>
        <v>3.4275000000000002</v>
      </c>
      <c r="AV45" s="125">
        <f t="shared" si="355"/>
        <v>63.31004310344828</v>
      </c>
      <c r="AW45" s="125">
        <f t="shared" si="355"/>
        <v>3.3075000000000006</v>
      </c>
      <c r="AX45" s="122">
        <f>(AX$47-AX$44)/3+AX44</f>
        <v>7.4366666666666665</v>
      </c>
      <c r="AY45" s="122">
        <f t="shared" ref="AY45:BU46" si="356">(AY$47-AY$44)/3+AY44</f>
        <v>5.33</v>
      </c>
      <c r="AZ45" s="122">
        <f t="shared" si="356"/>
        <v>8.8133333333333326</v>
      </c>
      <c r="BA45" s="122">
        <f t="shared" si="356"/>
        <v>4.96</v>
      </c>
      <c r="BB45" s="122">
        <f t="shared" si="356"/>
        <v>11.716666666666667</v>
      </c>
      <c r="BC45" s="122">
        <f t="shared" si="356"/>
        <v>4.5699999999999994</v>
      </c>
      <c r="BD45" s="122">
        <f t="shared" si="356"/>
        <v>18.29</v>
      </c>
      <c r="BE45" s="122">
        <f t="shared" si="356"/>
        <v>4.9800000000000004</v>
      </c>
      <c r="BF45" s="122">
        <f t="shared" si="356"/>
        <v>7.44</v>
      </c>
      <c r="BG45" s="122">
        <f t="shared" si="356"/>
        <v>4.29</v>
      </c>
      <c r="BH45" s="122">
        <f t="shared" si="356"/>
        <v>8.4700000000000006</v>
      </c>
      <c r="BI45" s="122">
        <f t="shared" si="356"/>
        <v>4.03</v>
      </c>
      <c r="BJ45" s="122">
        <f t="shared" si="356"/>
        <v>11.426666666666666</v>
      </c>
      <c r="BK45" s="122">
        <f t="shared" si="356"/>
        <v>3.7666666666666666</v>
      </c>
      <c r="BL45" s="122">
        <f t="shared" si="356"/>
        <v>17.466666666666665</v>
      </c>
      <c r="BM45" s="122">
        <f t="shared" si="356"/>
        <v>4.1099999999999994</v>
      </c>
      <c r="BN45" s="122">
        <f t="shared" si="356"/>
        <v>7.3033333333333337</v>
      </c>
      <c r="BO45" s="122">
        <f t="shared" si="356"/>
        <v>3.5166666666666666</v>
      </c>
      <c r="BP45" s="122">
        <f t="shared" si="356"/>
        <v>8.06</v>
      </c>
      <c r="BQ45" s="122">
        <f t="shared" si="356"/>
        <v>3.29</v>
      </c>
      <c r="BR45" s="122">
        <f t="shared" si="356"/>
        <v>10.836666666666668</v>
      </c>
      <c r="BS45" s="122">
        <f t="shared" si="356"/>
        <v>3.12</v>
      </c>
      <c r="BT45" s="122">
        <f t="shared" si="356"/>
        <v>16.546666666666667</v>
      </c>
      <c r="BU45" s="122">
        <f t="shared" si="356"/>
        <v>3.4233333333333333</v>
      </c>
      <c r="BV45" s="123">
        <v>22.9</v>
      </c>
      <c r="BW45" s="123">
        <f>BW44</f>
        <v>5.549999999999998</v>
      </c>
      <c r="BX45" s="123">
        <f t="shared" ref="BX45:CO52" si="357">BX44</f>
        <v>23.1</v>
      </c>
      <c r="BY45" s="123">
        <f t="shared" si="357"/>
        <v>4.4499999999999984</v>
      </c>
      <c r="BZ45" s="123">
        <f t="shared" si="357"/>
        <v>23.3</v>
      </c>
      <c r="CA45" s="123">
        <f t="shared" si="357"/>
        <v>3.68</v>
      </c>
      <c r="CB45" s="123">
        <f t="shared" si="357"/>
        <v>28.9</v>
      </c>
      <c r="CC45" s="123">
        <f t="shared" si="357"/>
        <v>5.5799999999999983</v>
      </c>
      <c r="CD45" s="123">
        <f t="shared" si="357"/>
        <v>29.1</v>
      </c>
      <c r="CE45" s="123">
        <f t="shared" si="357"/>
        <v>4.4599999999999982</v>
      </c>
      <c r="CF45" s="123">
        <f t="shared" si="357"/>
        <v>29.3</v>
      </c>
      <c r="CG45" s="123">
        <f t="shared" si="357"/>
        <v>3.6100000000000003</v>
      </c>
      <c r="CH45" s="123">
        <f t="shared" si="357"/>
        <v>38.700000000000003</v>
      </c>
      <c r="CI45" s="123">
        <f t="shared" si="357"/>
        <v>5.1299999999999981</v>
      </c>
      <c r="CJ45" s="123">
        <f t="shared" si="357"/>
        <v>38.5</v>
      </c>
      <c r="CK45" s="123">
        <f t="shared" si="357"/>
        <v>4.4499999999999984</v>
      </c>
      <c r="CL45" s="123">
        <f t="shared" si="357"/>
        <v>38.799999999999997</v>
      </c>
      <c r="CM45" s="123">
        <f t="shared" si="357"/>
        <v>3.6</v>
      </c>
      <c r="CN45" s="123">
        <f t="shared" si="357"/>
        <v>47.5</v>
      </c>
      <c r="CO45" s="123">
        <f t="shared" si="357"/>
        <v>5.4399999999999986</v>
      </c>
      <c r="CP45" s="123">
        <f t="shared" ref="CP45:CP52" si="358">CP44</f>
        <v>47</v>
      </c>
      <c r="CQ45" s="123">
        <f t="shared" ref="CQ45:CQ52" si="359">CQ44</f>
        <v>4.4299999999999988</v>
      </c>
      <c r="CR45" s="123">
        <f t="shared" ref="CR45:CR52" si="360">CR44</f>
        <v>47.7</v>
      </c>
      <c r="CS45" s="123">
        <f t="shared" ref="CS45:CS52" si="361">CS44</f>
        <v>3.7</v>
      </c>
      <c r="CT45" s="123">
        <f t="shared" ref="CT45:CT52" si="362">CT44</f>
        <v>54.9</v>
      </c>
      <c r="CU45" s="123">
        <f t="shared" ref="CU45:CU52" si="363">CU44</f>
        <v>5.4399999999999986</v>
      </c>
      <c r="CV45" s="123">
        <f t="shared" ref="CV45:CV52" si="364">CV44</f>
        <v>56.2</v>
      </c>
      <c r="CW45" s="123">
        <f t="shared" ref="CW45:CW52" si="365">CW44</f>
        <v>4.4299999999999988</v>
      </c>
      <c r="CX45" s="123">
        <f t="shared" ref="CX45:CX52" si="366">CX44</f>
        <v>57.2</v>
      </c>
      <c r="CY45" s="123">
        <f t="shared" ref="CY45:CY52" si="367">CY44</f>
        <v>3.7</v>
      </c>
      <c r="CZ45" s="123">
        <f t="shared" ref="CZ45:CZ52" si="368">CZ44</f>
        <v>64</v>
      </c>
      <c r="DA45" s="123">
        <f t="shared" ref="DA45:DA52" si="369">DA44</f>
        <v>5.4899999999999984</v>
      </c>
      <c r="DB45" s="123">
        <f t="shared" ref="DB45:DB52" si="370">DB44</f>
        <v>64.7</v>
      </c>
      <c r="DC45" s="123">
        <f t="shared" ref="DC45:DC52" si="371">DC44</f>
        <v>4.4099999999999984</v>
      </c>
      <c r="DD45" s="123">
        <f t="shared" ref="DD45:DD52" si="372">DD44</f>
        <v>64</v>
      </c>
      <c r="DE45" s="123">
        <f t="shared" ref="DE45:DE52" si="373">DE44</f>
        <v>3.5</v>
      </c>
      <c r="DF45" s="123">
        <f t="shared" ref="DF45:DF52" si="374">DF44</f>
        <v>72.8</v>
      </c>
      <c r="DG45" s="123">
        <f t="shared" ref="DG45:DG52" si="375">DG44</f>
        <v>5.2499999999999982</v>
      </c>
      <c r="DH45" s="123">
        <f t="shared" ref="DH45:DH52" si="376">DH44</f>
        <v>74.099999999999994</v>
      </c>
      <c r="DI45" s="123">
        <f t="shared" ref="DI45:DI52" si="377">DI44</f>
        <v>4.2899999999999983</v>
      </c>
      <c r="DJ45" s="123">
        <f t="shared" ref="DJ45:DJ52" si="378">DJ44</f>
        <v>73.900000000000006</v>
      </c>
      <c r="DK45" s="123">
        <f t="shared" ref="DK45:DK52" si="379">DK44</f>
        <v>3.58</v>
      </c>
      <c r="DL45" s="123">
        <f t="shared" ref="DL45:DL52" si="380">DL44</f>
        <v>78.3</v>
      </c>
      <c r="DM45" s="123">
        <f t="shared" ref="DM45:DM52" si="381">DM44</f>
        <v>5.299999999999998</v>
      </c>
      <c r="DN45" s="123">
        <f t="shared" ref="DN45:DN52" si="382">DN44</f>
        <v>80.3</v>
      </c>
      <c r="DO45" s="123">
        <f t="shared" ref="DO45:DO52" si="383">DO44</f>
        <v>4.3999999999999986</v>
      </c>
      <c r="DP45" s="123">
        <f t="shared" ref="DP45:DP52" si="384">DP44</f>
        <v>81.099999999999994</v>
      </c>
      <c r="DQ45" s="123">
        <f t="shared" ref="DQ45:DQ52" si="385">DQ44</f>
        <v>3.7300000000000004</v>
      </c>
      <c r="DR45" s="124">
        <f t="shared" ref="DR45:DR52" si="386">DR44</f>
        <v>44.6</v>
      </c>
      <c r="DS45" s="124">
        <f t="shared" ref="DS45:DS52" si="387">DS44</f>
        <v>4.7399999999999984</v>
      </c>
      <c r="DT45" s="124">
        <f t="shared" ref="DT45:DT52" si="388">DT44</f>
        <v>42.8</v>
      </c>
      <c r="DU45" s="124">
        <f t="shared" ref="DU45:DU52" si="389">DU44</f>
        <v>3.74</v>
      </c>
      <c r="DV45" s="124">
        <f t="shared" ref="DV45:DV52" si="390">DV44</f>
        <v>41</v>
      </c>
      <c r="DW45" s="124">
        <f t="shared" ref="DW45:DW52" si="391">DW44</f>
        <v>3.14</v>
      </c>
      <c r="DX45" s="124">
        <f t="shared" ref="DX45:DX52" si="392">DX44</f>
        <v>59.6</v>
      </c>
      <c r="DY45" s="124">
        <f t="shared" ref="DY45:DY52" si="393">DY44</f>
        <v>5.0399999999999983</v>
      </c>
      <c r="DZ45" s="124">
        <f t="shared" ref="DZ45:DZ52" si="394">DZ44</f>
        <v>56.8</v>
      </c>
      <c r="EA45" s="124">
        <f t="shared" ref="EA45:EA52" si="395">EA44</f>
        <v>4.04</v>
      </c>
      <c r="EB45" s="124">
        <f t="shared" ref="EB45:EB52" si="396">EB44</f>
        <v>54</v>
      </c>
      <c r="EC45" s="124">
        <f t="shared" ref="EC45:EC52" si="397">EC44</f>
        <v>3.14</v>
      </c>
      <c r="ED45" s="124">
        <f t="shared" ref="ED45:ED52" si="398">ED44</f>
        <v>86.7</v>
      </c>
      <c r="EE45" s="124">
        <f t="shared" ref="EE45:EE52" si="399">EE44</f>
        <v>5.0399999999999983</v>
      </c>
      <c r="EF45" s="124">
        <f t="shared" ref="EF45:EF52" si="400">EF44</f>
        <v>83.35</v>
      </c>
      <c r="EG45" s="124">
        <f t="shared" ref="EG45:EG52" si="401">EG44</f>
        <v>3.9400000000000004</v>
      </c>
      <c r="EH45" s="124">
        <f t="shared" ref="EH45:EH52" si="402">EH44</f>
        <v>80</v>
      </c>
      <c r="EI45" s="124">
        <f t="shared" ref="EI45:EI52" si="403">EI44</f>
        <v>3.14</v>
      </c>
      <c r="EJ45" s="102">
        <f t="shared" si="349"/>
        <v>6.9647058823529582</v>
      </c>
      <c r="EK45" s="102">
        <f t="shared" si="350"/>
        <v>5.3058823529411843</v>
      </c>
      <c r="EL45" s="102">
        <f t="shared" si="351"/>
        <v>6.6647058823529584</v>
      </c>
      <c r="EM45" s="102">
        <f t="shared" si="352"/>
        <v>4.0470588235294205</v>
      </c>
      <c r="EN45" s="102">
        <f t="shared" si="353"/>
        <v>6.2058823529411891</v>
      </c>
      <c r="EO45" s="102">
        <f t="shared" si="354"/>
        <v>3.2176470588235357</v>
      </c>
      <c r="EP45" s="102">
        <v>9.6999999999999993</v>
      </c>
      <c r="EQ45" s="102">
        <v>5.9</v>
      </c>
      <c r="ER45" s="102">
        <v>9.4</v>
      </c>
      <c r="ES45" s="102">
        <v>4.5</v>
      </c>
      <c r="ET45" s="102">
        <v>8.9</v>
      </c>
      <c r="EU45" s="102">
        <v>3.4</v>
      </c>
      <c r="EV45" s="102">
        <v>13.6</v>
      </c>
      <c r="EW45" s="102">
        <v>6.2</v>
      </c>
      <c r="EX45" s="102">
        <v>12.9</v>
      </c>
      <c r="EY45" s="102">
        <v>4.5999999999999996</v>
      </c>
      <c r="EZ45" s="102">
        <v>12</v>
      </c>
      <c r="FA45" s="102">
        <v>3.5</v>
      </c>
      <c r="FB45" s="102">
        <v>17.100000000000001</v>
      </c>
      <c r="FC45" s="102">
        <v>6.2</v>
      </c>
      <c r="FD45" s="102">
        <v>16.3</v>
      </c>
      <c r="FE45" s="102">
        <v>4.7</v>
      </c>
      <c r="FF45" s="102">
        <v>15.6</v>
      </c>
      <c r="FG45" s="102">
        <v>3.7</v>
      </c>
      <c r="FH45" s="102">
        <v>21.5</v>
      </c>
      <c r="FI45" s="102">
        <v>5.7</v>
      </c>
      <c r="FJ45" s="102">
        <v>20.5</v>
      </c>
      <c r="FK45" s="102">
        <v>4.4000000000000004</v>
      </c>
      <c r="FL45" s="102">
        <v>19.3</v>
      </c>
      <c r="FM45" s="102">
        <v>3.4</v>
      </c>
    </row>
    <row r="46" spans="1:169" s="89" customFormat="1" x14ac:dyDescent="0.25">
      <c r="A46" s="89">
        <v>14</v>
      </c>
      <c r="B46" s="120">
        <v>6.944285714285714</v>
      </c>
      <c r="C46" s="120">
        <v>3.8299999999999996</v>
      </c>
      <c r="D46" s="120">
        <v>9.5242857142857122</v>
      </c>
      <c r="E46" s="120">
        <v>3.8471428571428565</v>
      </c>
      <c r="F46" s="120">
        <v>13.582040816326533</v>
      </c>
      <c r="G46" s="120">
        <v>3.7475510204081637</v>
      </c>
      <c r="H46" s="120">
        <v>16.412857142857142</v>
      </c>
      <c r="I46" s="120">
        <v>3.6857142857142864</v>
      </c>
      <c r="J46" s="120">
        <v>19.994285714285716</v>
      </c>
      <c r="K46" s="120">
        <v>3.6757142857142857</v>
      </c>
      <c r="L46" s="120">
        <v>6.7971428571428563</v>
      </c>
      <c r="M46" s="120">
        <v>3.3142857142857145</v>
      </c>
      <c r="N46" s="120">
        <v>9.137142857142857</v>
      </c>
      <c r="O46" s="120">
        <v>3.5171428571428573</v>
      </c>
      <c r="P46" s="120">
        <v>13.408775510204082</v>
      </c>
      <c r="Q46" s="120">
        <v>3.1767346938775511</v>
      </c>
      <c r="R46" s="120">
        <v>16.240000000000002</v>
      </c>
      <c r="S46" s="120">
        <v>3.1742857142857139</v>
      </c>
      <c r="T46" s="120">
        <v>18.525714285714287</v>
      </c>
      <c r="U46" s="120">
        <v>3.1585714285714284</v>
      </c>
      <c r="V46" s="120">
        <v>6.4399999999999995</v>
      </c>
      <c r="W46" s="120">
        <v>2.6071428571428572</v>
      </c>
      <c r="X46" s="120">
        <v>8.1114285714285721</v>
      </c>
      <c r="Y46" s="120">
        <v>2.7414285714285707</v>
      </c>
      <c r="Z46" s="120">
        <v>11.337551020408164</v>
      </c>
      <c r="AA46" s="120">
        <v>2.6624489795918369</v>
      </c>
      <c r="AB46" s="120">
        <v>15.229999999999999</v>
      </c>
      <c r="AC46" s="120">
        <v>2.5671428571428576</v>
      </c>
      <c r="AD46" s="120">
        <v>16.524285714285714</v>
      </c>
      <c r="AE46" s="120">
        <v>2.54</v>
      </c>
      <c r="AF46" s="125">
        <f t="shared" ref="AF46:AF51" si="404">(AF$52-AF$44)/8+AF45</f>
        <v>51.253534482758624</v>
      </c>
      <c r="AG46" s="125">
        <f t="shared" si="355"/>
        <v>5.5400000000000009</v>
      </c>
      <c r="AH46" s="125">
        <f t="shared" si="355"/>
        <v>59.454999999999998</v>
      </c>
      <c r="AI46" s="125">
        <f t="shared" si="355"/>
        <v>5.6300000000000008</v>
      </c>
      <c r="AJ46" s="125">
        <f t="shared" si="355"/>
        <v>76.881551724137921</v>
      </c>
      <c r="AK46" s="125">
        <f t="shared" si="355"/>
        <v>5.5100000000000007</v>
      </c>
      <c r="AL46" s="125">
        <f t="shared" si="355"/>
        <v>46.955775862068961</v>
      </c>
      <c r="AM46" s="125">
        <f t="shared" si="355"/>
        <v>4.3650000000000011</v>
      </c>
      <c r="AN46" s="125">
        <f t="shared" si="355"/>
        <v>54.47</v>
      </c>
      <c r="AO46" s="125">
        <f t="shared" si="355"/>
        <v>4.455000000000001</v>
      </c>
      <c r="AP46" s="125">
        <f t="shared" si="355"/>
        <v>70.434913793103448</v>
      </c>
      <c r="AQ46" s="125">
        <f t="shared" si="355"/>
        <v>4.34</v>
      </c>
      <c r="AR46" s="125">
        <f t="shared" si="355"/>
        <v>42.741810344827591</v>
      </c>
      <c r="AS46" s="125">
        <f t="shared" si="355"/>
        <v>3.4150000000000005</v>
      </c>
      <c r="AT46" s="125">
        <f t="shared" si="355"/>
        <v>49.58</v>
      </c>
      <c r="AU46" s="125">
        <f t="shared" si="355"/>
        <v>3.5050000000000003</v>
      </c>
      <c r="AV46" s="125">
        <f t="shared" si="355"/>
        <v>64.111465517241385</v>
      </c>
      <c r="AW46" s="125">
        <f t="shared" si="355"/>
        <v>3.3850000000000007</v>
      </c>
      <c r="AX46" s="122">
        <f>(AX$47-AX$44)/3+AX45</f>
        <v>7.4633333333333329</v>
      </c>
      <c r="AY46" s="122">
        <f t="shared" si="356"/>
        <v>5.5</v>
      </c>
      <c r="AZ46" s="122">
        <f t="shared" si="356"/>
        <v>8.9466666666666654</v>
      </c>
      <c r="BA46" s="122">
        <f t="shared" si="356"/>
        <v>5.09</v>
      </c>
      <c r="BB46" s="122">
        <f t="shared" si="356"/>
        <v>11.873333333333333</v>
      </c>
      <c r="BC46" s="122">
        <f t="shared" si="356"/>
        <v>4.669999999999999</v>
      </c>
      <c r="BD46" s="122">
        <f t="shared" si="356"/>
        <v>18.5</v>
      </c>
      <c r="BE46" s="122">
        <f t="shared" si="356"/>
        <v>5.1000000000000005</v>
      </c>
      <c r="BF46" s="122">
        <f t="shared" si="356"/>
        <v>7.44</v>
      </c>
      <c r="BG46" s="122">
        <f t="shared" si="356"/>
        <v>4.41</v>
      </c>
      <c r="BH46" s="122">
        <f t="shared" si="356"/>
        <v>8.5900000000000016</v>
      </c>
      <c r="BI46" s="122">
        <f t="shared" si="356"/>
        <v>4.1300000000000008</v>
      </c>
      <c r="BJ46" s="122">
        <f t="shared" si="356"/>
        <v>11.573333333333332</v>
      </c>
      <c r="BK46" s="122">
        <f t="shared" si="356"/>
        <v>3.8433333333333333</v>
      </c>
      <c r="BL46" s="122">
        <f t="shared" si="356"/>
        <v>17.603333333333332</v>
      </c>
      <c r="BM46" s="122">
        <f t="shared" si="356"/>
        <v>4.2099999999999991</v>
      </c>
      <c r="BN46" s="122">
        <f t="shared" si="356"/>
        <v>7.3666666666666671</v>
      </c>
      <c r="BO46" s="122">
        <f t="shared" si="356"/>
        <v>3.5933333333333333</v>
      </c>
      <c r="BP46" s="122">
        <f t="shared" si="356"/>
        <v>8.16</v>
      </c>
      <c r="BQ46" s="122">
        <f t="shared" si="356"/>
        <v>3.36</v>
      </c>
      <c r="BR46" s="122">
        <f t="shared" si="356"/>
        <v>10.943333333333335</v>
      </c>
      <c r="BS46" s="122">
        <f t="shared" si="356"/>
        <v>3.18</v>
      </c>
      <c r="BT46" s="122">
        <f t="shared" si="356"/>
        <v>16.723333333333333</v>
      </c>
      <c r="BU46" s="122">
        <f t="shared" si="356"/>
        <v>3.4966666666666666</v>
      </c>
      <c r="BV46" s="123">
        <v>22.9</v>
      </c>
      <c r="BW46" s="123">
        <f t="shared" ref="BW46:BW52" si="405">BW45</f>
        <v>5.549999999999998</v>
      </c>
      <c r="BX46" s="123">
        <f t="shared" si="357"/>
        <v>23.1</v>
      </c>
      <c r="BY46" s="123">
        <f t="shared" si="357"/>
        <v>4.4499999999999984</v>
      </c>
      <c r="BZ46" s="123">
        <f t="shared" si="357"/>
        <v>23.3</v>
      </c>
      <c r="CA46" s="123">
        <f t="shared" si="357"/>
        <v>3.68</v>
      </c>
      <c r="CB46" s="123">
        <f t="shared" si="357"/>
        <v>28.9</v>
      </c>
      <c r="CC46" s="123">
        <f t="shared" si="357"/>
        <v>5.5799999999999983</v>
      </c>
      <c r="CD46" s="123">
        <f t="shared" si="357"/>
        <v>29.1</v>
      </c>
      <c r="CE46" s="123">
        <f t="shared" si="357"/>
        <v>4.4599999999999982</v>
      </c>
      <c r="CF46" s="123">
        <f t="shared" si="357"/>
        <v>29.3</v>
      </c>
      <c r="CG46" s="123">
        <f t="shared" si="357"/>
        <v>3.6100000000000003</v>
      </c>
      <c r="CH46" s="123">
        <f t="shared" si="357"/>
        <v>38.700000000000003</v>
      </c>
      <c r="CI46" s="123">
        <f t="shared" si="357"/>
        <v>5.1299999999999981</v>
      </c>
      <c r="CJ46" s="123">
        <f t="shared" si="357"/>
        <v>38.5</v>
      </c>
      <c r="CK46" s="123">
        <f t="shared" si="357"/>
        <v>4.4499999999999984</v>
      </c>
      <c r="CL46" s="123">
        <f t="shared" si="357"/>
        <v>38.799999999999997</v>
      </c>
      <c r="CM46" s="123">
        <f t="shared" si="357"/>
        <v>3.6</v>
      </c>
      <c r="CN46" s="123">
        <f t="shared" si="357"/>
        <v>47.5</v>
      </c>
      <c r="CO46" s="123">
        <f t="shared" si="357"/>
        <v>5.4399999999999986</v>
      </c>
      <c r="CP46" s="123">
        <f t="shared" si="358"/>
        <v>47</v>
      </c>
      <c r="CQ46" s="123">
        <f t="shared" si="359"/>
        <v>4.4299999999999988</v>
      </c>
      <c r="CR46" s="123">
        <f t="shared" si="360"/>
        <v>47.7</v>
      </c>
      <c r="CS46" s="123">
        <f t="shared" si="361"/>
        <v>3.7</v>
      </c>
      <c r="CT46" s="123">
        <f t="shared" si="362"/>
        <v>54.9</v>
      </c>
      <c r="CU46" s="123">
        <f t="shared" si="363"/>
        <v>5.4399999999999986</v>
      </c>
      <c r="CV46" s="123">
        <f t="shared" si="364"/>
        <v>56.2</v>
      </c>
      <c r="CW46" s="123">
        <f t="shared" si="365"/>
        <v>4.4299999999999988</v>
      </c>
      <c r="CX46" s="123">
        <f t="shared" si="366"/>
        <v>57.2</v>
      </c>
      <c r="CY46" s="123">
        <f t="shared" si="367"/>
        <v>3.7</v>
      </c>
      <c r="CZ46" s="123">
        <f t="shared" si="368"/>
        <v>64</v>
      </c>
      <c r="DA46" s="123">
        <f t="shared" si="369"/>
        <v>5.4899999999999984</v>
      </c>
      <c r="DB46" s="123">
        <f t="shared" si="370"/>
        <v>64.7</v>
      </c>
      <c r="DC46" s="123">
        <f t="shared" si="371"/>
        <v>4.4099999999999984</v>
      </c>
      <c r="DD46" s="123">
        <f t="shared" si="372"/>
        <v>64</v>
      </c>
      <c r="DE46" s="123">
        <f t="shared" si="373"/>
        <v>3.5</v>
      </c>
      <c r="DF46" s="123">
        <f t="shared" si="374"/>
        <v>72.8</v>
      </c>
      <c r="DG46" s="123">
        <f t="shared" si="375"/>
        <v>5.2499999999999982</v>
      </c>
      <c r="DH46" s="123">
        <f t="shared" si="376"/>
        <v>74.099999999999994</v>
      </c>
      <c r="DI46" s="123">
        <f t="shared" si="377"/>
        <v>4.2899999999999983</v>
      </c>
      <c r="DJ46" s="123">
        <f t="shared" si="378"/>
        <v>73.900000000000006</v>
      </c>
      <c r="DK46" s="123">
        <f t="shared" si="379"/>
        <v>3.58</v>
      </c>
      <c r="DL46" s="123">
        <f t="shared" si="380"/>
        <v>78.3</v>
      </c>
      <c r="DM46" s="123">
        <f t="shared" si="381"/>
        <v>5.299999999999998</v>
      </c>
      <c r="DN46" s="123">
        <f t="shared" si="382"/>
        <v>80.3</v>
      </c>
      <c r="DO46" s="123">
        <f t="shared" si="383"/>
        <v>4.3999999999999986</v>
      </c>
      <c r="DP46" s="123">
        <f t="shared" si="384"/>
        <v>81.099999999999994</v>
      </c>
      <c r="DQ46" s="123">
        <f t="shared" si="385"/>
        <v>3.7300000000000004</v>
      </c>
      <c r="DR46" s="124">
        <f t="shared" si="386"/>
        <v>44.6</v>
      </c>
      <c r="DS46" s="124">
        <f t="shared" si="387"/>
        <v>4.7399999999999984</v>
      </c>
      <c r="DT46" s="124">
        <f t="shared" si="388"/>
        <v>42.8</v>
      </c>
      <c r="DU46" s="124">
        <f t="shared" si="389"/>
        <v>3.74</v>
      </c>
      <c r="DV46" s="124">
        <f t="shared" si="390"/>
        <v>41</v>
      </c>
      <c r="DW46" s="124">
        <f t="shared" si="391"/>
        <v>3.14</v>
      </c>
      <c r="DX46" s="124">
        <f t="shared" si="392"/>
        <v>59.6</v>
      </c>
      <c r="DY46" s="124">
        <f t="shared" si="393"/>
        <v>5.0399999999999983</v>
      </c>
      <c r="DZ46" s="124">
        <f t="shared" si="394"/>
        <v>56.8</v>
      </c>
      <c r="EA46" s="124">
        <f t="shared" si="395"/>
        <v>4.04</v>
      </c>
      <c r="EB46" s="124">
        <f t="shared" si="396"/>
        <v>54</v>
      </c>
      <c r="EC46" s="124">
        <f t="shared" si="397"/>
        <v>3.14</v>
      </c>
      <c r="ED46" s="124">
        <f t="shared" si="398"/>
        <v>86.7</v>
      </c>
      <c r="EE46" s="124">
        <f t="shared" si="399"/>
        <v>5.0399999999999983</v>
      </c>
      <c r="EF46" s="124">
        <f t="shared" si="400"/>
        <v>83.35</v>
      </c>
      <c r="EG46" s="124">
        <f t="shared" si="401"/>
        <v>3.9400000000000004</v>
      </c>
      <c r="EH46" s="124">
        <f t="shared" si="402"/>
        <v>80</v>
      </c>
      <c r="EI46" s="124">
        <f t="shared" si="403"/>
        <v>3.14</v>
      </c>
      <c r="EJ46" s="102">
        <f t="shared" si="349"/>
        <v>6.9647058823529582</v>
      </c>
      <c r="EK46" s="102">
        <f t="shared" si="350"/>
        <v>5.3058823529411843</v>
      </c>
      <c r="EL46" s="102">
        <f t="shared" si="351"/>
        <v>6.6647058823529584</v>
      </c>
      <c r="EM46" s="102">
        <f t="shared" si="352"/>
        <v>4.0470588235294205</v>
      </c>
      <c r="EN46" s="102">
        <f t="shared" si="353"/>
        <v>6.2058823529411891</v>
      </c>
      <c r="EO46" s="102">
        <f t="shared" si="354"/>
        <v>3.2176470588235357</v>
      </c>
      <c r="EP46" s="102">
        <v>9.6999999999999993</v>
      </c>
      <c r="EQ46" s="102">
        <v>5.9</v>
      </c>
      <c r="ER46" s="102">
        <v>9.4</v>
      </c>
      <c r="ES46" s="102">
        <v>4.5</v>
      </c>
      <c r="ET46" s="102">
        <v>8.9</v>
      </c>
      <c r="EU46" s="102">
        <v>3.4</v>
      </c>
      <c r="EV46" s="102">
        <v>13.6</v>
      </c>
      <c r="EW46" s="102">
        <v>6.2</v>
      </c>
      <c r="EX46" s="102">
        <v>12.9</v>
      </c>
      <c r="EY46" s="102">
        <v>4.5999999999999996</v>
      </c>
      <c r="EZ46" s="102">
        <v>12</v>
      </c>
      <c r="FA46" s="102">
        <v>3.5</v>
      </c>
      <c r="FB46" s="102">
        <v>17.100000000000001</v>
      </c>
      <c r="FC46" s="102">
        <v>6.2</v>
      </c>
      <c r="FD46" s="102">
        <v>16.3</v>
      </c>
      <c r="FE46" s="102">
        <v>4.7</v>
      </c>
      <c r="FF46" s="102">
        <v>15.6</v>
      </c>
      <c r="FG46" s="102">
        <v>3.7</v>
      </c>
      <c r="FH46" s="102">
        <v>21.5</v>
      </c>
      <c r="FI46" s="102">
        <v>5.7</v>
      </c>
      <c r="FJ46" s="102">
        <v>20.5</v>
      </c>
      <c r="FK46" s="102">
        <v>4.4000000000000004</v>
      </c>
      <c r="FL46" s="102">
        <v>19.3</v>
      </c>
      <c r="FM46" s="102">
        <v>3.4</v>
      </c>
    </row>
    <row r="47" spans="1:169" s="89" customFormat="1" x14ac:dyDescent="0.25">
      <c r="A47" s="89">
        <v>15</v>
      </c>
      <c r="B47" s="120">
        <v>7.0035714285714281</v>
      </c>
      <c r="C47" s="120">
        <v>3.9</v>
      </c>
      <c r="D47" s="120">
        <v>9.6285714285714281</v>
      </c>
      <c r="E47" s="120">
        <v>3.9242857142857139</v>
      </c>
      <c r="F47" s="120">
        <v>13.748367346938776</v>
      </c>
      <c r="G47" s="120">
        <v>3.8179591836734694</v>
      </c>
      <c r="H47" s="120">
        <v>16.625714285714285</v>
      </c>
      <c r="I47" s="120">
        <v>3.7914285714285723</v>
      </c>
      <c r="J47" s="120">
        <v>20.23357142857143</v>
      </c>
      <c r="K47" s="120">
        <v>3.7614285714285716</v>
      </c>
      <c r="L47" s="120">
        <v>6.8492857142857142</v>
      </c>
      <c r="M47" s="120">
        <v>3.3835714285714285</v>
      </c>
      <c r="N47" s="120">
        <v>9.2492857142857154</v>
      </c>
      <c r="O47" s="120">
        <v>3.5792857142857142</v>
      </c>
      <c r="P47" s="120">
        <v>13.558979591836735</v>
      </c>
      <c r="Q47" s="120">
        <v>3.2506122448979595</v>
      </c>
      <c r="R47" s="120">
        <v>16.420000000000002</v>
      </c>
      <c r="S47" s="120">
        <v>3.2535714285714286</v>
      </c>
      <c r="T47" s="120">
        <v>18.756428571428572</v>
      </c>
      <c r="U47" s="120">
        <v>3.222142857142857</v>
      </c>
      <c r="V47" s="120">
        <v>6.4999999999999991</v>
      </c>
      <c r="W47" s="120">
        <v>2.6642857142857141</v>
      </c>
      <c r="X47" s="120">
        <v>8.2178571428571434</v>
      </c>
      <c r="Y47" s="120">
        <v>2.7978571428571422</v>
      </c>
      <c r="Z47" s="120">
        <v>11.497959183673471</v>
      </c>
      <c r="AA47" s="120">
        <v>2.7120408163265308</v>
      </c>
      <c r="AB47" s="120">
        <v>15.42</v>
      </c>
      <c r="AC47" s="120">
        <v>2.6492857142857145</v>
      </c>
      <c r="AD47" s="120">
        <v>16.718571428571426</v>
      </c>
      <c r="AE47" s="120">
        <v>2.605</v>
      </c>
      <c r="AF47" s="125">
        <f t="shared" si="404"/>
        <v>51.759612068965524</v>
      </c>
      <c r="AG47" s="125">
        <f t="shared" si="355"/>
        <v>5.7350000000000012</v>
      </c>
      <c r="AH47" s="125">
        <f t="shared" si="355"/>
        <v>60.042499999999997</v>
      </c>
      <c r="AI47" s="125">
        <f t="shared" si="355"/>
        <v>5.8250000000000011</v>
      </c>
      <c r="AJ47" s="125">
        <f t="shared" si="355"/>
        <v>77.641293103448263</v>
      </c>
      <c r="AK47" s="125">
        <f t="shared" si="355"/>
        <v>5.705000000000001</v>
      </c>
      <c r="AL47" s="125">
        <f t="shared" si="355"/>
        <v>47.468146551724132</v>
      </c>
      <c r="AM47" s="125">
        <f t="shared" si="355"/>
        <v>4.4975000000000014</v>
      </c>
      <c r="AN47" s="125">
        <f t="shared" si="355"/>
        <v>55.064999999999998</v>
      </c>
      <c r="AO47" s="125">
        <f t="shared" si="355"/>
        <v>4.5875000000000012</v>
      </c>
      <c r="AP47" s="125">
        <f t="shared" si="355"/>
        <v>71.204094827586204</v>
      </c>
      <c r="AQ47" s="125">
        <f t="shared" si="355"/>
        <v>4.4749999999999996</v>
      </c>
      <c r="AR47" s="125">
        <f t="shared" si="355"/>
        <v>43.276508620689661</v>
      </c>
      <c r="AS47" s="125">
        <f t="shared" si="355"/>
        <v>3.4925000000000006</v>
      </c>
      <c r="AT47" s="125">
        <f t="shared" si="355"/>
        <v>50.199999999999996</v>
      </c>
      <c r="AU47" s="125">
        <f t="shared" si="355"/>
        <v>3.5825000000000005</v>
      </c>
      <c r="AV47" s="125">
        <f t="shared" si="355"/>
        <v>64.91288793103449</v>
      </c>
      <c r="AW47" s="125">
        <f t="shared" si="355"/>
        <v>3.4625000000000008</v>
      </c>
      <c r="AX47" s="122">
        <v>7.49</v>
      </c>
      <c r="AY47" s="122">
        <v>5.67</v>
      </c>
      <c r="AZ47" s="122">
        <v>9.08</v>
      </c>
      <c r="BA47" s="122">
        <v>5.22</v>
      </c>
      <c r="BB47" s="122">
        <v>12.03</v>
      </c>
      <c r="BC47" s="122">
        <v>4.7699999999999996</v>
      </c>
      <c r="BD47" s="122">
        <v>18.71</v>
      </c>
      <c r="BE47" s="122">
        <v>5.22</v>
      </c>
      <c r="BF47" s="122">
        <v>7.44</v>
      </c>
      <c r="BG47" s="122">
        <v>4.53</v>
      </c>
      <c r="BH47" s="122">
        <v>8.7100000000000009</v>
      </c>
      <c r="BI47" s="122">
        <v>4.2300000000000004</v>
      </c>
      <c r="BJ47" s="122">
        <v>11.72</v>
      </c>
      <c r="BK47" s="122">
        <v>3.92</v>
      </c>
      <c r="BL47" s="122">
        <v>17.739999999999998</v>
      </c>
      <c r="BM47" s="122">
        <v>4.3099999999999996</v>
      </c>
      <c r="BN47" s="122">
        <v>7.43</v>
      </c>
      <c r="BO47" s="122">
        <v>3.67</v>
      </c>
      <c r="BP47" s="122">
        <v>8.26</v>
      </c>
      <c r="BQ47" s="122">
        <v>3.43</v>
      </c>
      <c r="BR47" s="122">
        <v>11.05</v>
      </c>
      <c r="BS47" s="122">
        <v>3.24</v>
      </c>
      <c r="BT47" s="122">
        <v>16.899999999999999</v>
      </c>
      <c r="BU47" s="122">
        <v>3.57</v>
      </c>
      <c r="BV47" s="123">
        <v>22.9</v>
      </c>
      <c r="BW47" s="123">
        <f t="shared" si="405"/>
        <v>5.549999999999998</v>
      </c>
      <c r="BX47" s="123">
        <f t="shared" si="357"/>
        <v>23.1</v>
      </c>
      <c r="BY47" s="123">
        <f t="shared" si="357"/>
        <v>4.4499999999999984</v>
      </c>
      <c r="BZ47" s="123">
        <f t="shared" si="357"/>
        <v>23.3</v>
      </c>
      <c r="CA47" s="123">
        <f t="shared" si="357"/>
        <v>3.68</v>
      </c>
      <c r="CB47" s="123">
        <f t="shared" si="357"/>
        <v>28.9</v>
      </c>
      <c r="CC47" s="123">
        <f t="shared" si="357"/>
        <v>5.5799999999999983</v>
      </c>
      <c r="CD47" s="123">
        <f t="shared" si="357"/>
        <v>29.1</v>
      </c>
      <c r="CE47" s="123">
        <f t="shared" si="357"/>
        <v>4.4599999999999982</v>
      </c>
      <c r="CF47" s="123">
        <f t="shared" si="357"/>
        <v>29.3</v>
      </c>
      <c r="CG47" s="123">
        <f t="shared" si="357"/>
        <v>3.6100000000000003</v>
      </c>
      <c r="CH47" s="123">
        <f t="shared" si="357"/>
        <v>38.700000000000003</v>
      </c>
      <c r="CI47" s="123">
        <f t="shared" si="357"/>
        <v>5.1299999999999981</v>
      </c>
      <c r="CJ47" s="123">
        <f t="shared" si="357"/>
        <v>38.5</v>
      </c>
      <c r="CK47" s="123">
        <f t="shared" si="357"/>
        <v>4.4499999999999984</v>
      </c>
      <c r="CL47" s="123">
        <f t="shared" si="357"/>
        <v>38.799999999999997</v>
      </c>
      <c r="CM47" s="123">
        <f t="shared" si="357"/>
        <v>3.6</v>
      </c>
      <c r="CN47" s="123">
        <f t="shared" si="357"/>
        <v>47.5</v>
      </c>
      <c r="CO47" s="123">
        <f t="shared" si="357"/>
        <v>5.4399999999999986</v>
      </c>
      <c r="CP47" s="123">
        <f t="shared" si="358"/>
        <v>47</v>
      </c>
      <c r="CQ47" s="123">
        <f t="shared" si="359"/>
        <v>4.4299999999999988</v>
      </c>
      <c r="CR47" s="123">
        <f t="shared" si="360"/>
        <v>47.7</v>
      </c>
      <c r="CS47" s="123">
        <f t="shared" si="361"/>
        <v>3.7</v>
      </c>
      <c r="CT47" s="123">
        <f t="shared" si="362"/>
        <v>54.9</v>
      </c>
      <c r="CU47" s="123">
        <f t="shared" si="363"/>
        <v>5.4399999999999986</v>
      </c>
      <c r="CV47" s="123">
        <f t="shared" si="364"/>
        <v>56.2</v>
      </c>
      <c r="CW47" s="123">
        <f t="shared" si="365"/>
        <v>4.4299999999999988</v>
      </c>
      <c r="CX47" s="123">
        <f t="shared" si="366"/>
        <v>57.2</v>
      </c>
      <c r="CY47" s="123">
        <f t="shared" si="367"/>
        <v>3.7</v>
      </c>
      <c r="CZ47" s="123">
        <f t="shared" si="368"/>
        <v>64</v>
      </c>
      <c r="DA47" s="123">
        <f t="shared" si="369"/>
        <v>5.4899999999999984</v>
      </c>
      <c r="DB47" s="123">
        <f t="shared" si="370"/>
        <v>64.7</v>
      </c>
      <c r="DC47" s="123">
        <f t="shared" si="371"/>
        <v>4.4099999999999984</v>
      </c>
      <c r="DD47" s="123">
        <f t="shared" si="372"/>
        <v>64</v>
      </c>
      <c r="DE47" s="123">
        <f t="shared" si="373"/>
        <v>3.5</v>
      </c>
      <c r="DF47" s="123">
        <f t="shared" si="374"/>
        <v>72.8</v>
      </c>
      <c r="DG47" s="123">
        <f t="shared" si="375"/>
        <v>5.2499999999999982</v>
      </c>
      <c r="DH47" s="123">
        <f t="shared" si="376"/>
        <v>74.099999999999994</v>
      </c>
      <c r="DI47" s="123">
        <f t="shared" si="377"/>
        <v>4.2899999999999983</v>
      </c>
      <c r="DJ47" s="123">
        <f t="shared" si="378"/>
        <v>73.900000000000006</v>
      </c>
      <c r="DK47" s="123">
        <f t="shared" si="379"/>
        <v>3.58</v>
      </c>
      <c r="DL47" s="123">
        <f t="shared" si="380"/>
        <v>78.3</v>
      </c>
      <c r="DM47" s="123">
        <f t="shared" si="381"/>
        <v>5.299999999999998</v>
      </c>
      <c r="DN47" s="123">
        <f t="shared" si="382"/>
        <v>80.3</v>
      </c>
      <c r="DO47" s="123">
        <f t="shared" si="383"/>
        <v>4.3999999999999986</v>
      </c>
      <c r="DP47" s="123">
        <f t="shared" si="384"/>
        <v>81.099999999999994</v>
      </c>
      <c r="DQ47" s="123">
        <f t="shared" si="385"/>
        <v>3.7300000000000004</v>
      </c>
      <c r="DR47" s="124">
        <f t="shared" si="386"/>
        <v>44.6</v>
      </c>
      <c r="DS47" s="124">
        <f t="shared" si="387"/>
        <v>4.7399999999999984</v>
      </c>
      <c r="DT47" s="124">
        <f t="shared" si="388"/>
        <v>42.8</v>
      </c>
      <c r="DU47" s="124">
        <f t="shared" si="389"/>
        <v>3.74</v>
      </c>
      <c r="DV47" s="124">
        <f t="shared" si="390"/>
        <v>41</v>
      </c>
      <c r="DW47" s="124">
        <f t="shared" si="391"/>
        <v>3.14</v>
      </c>
      <c r="DX47" s="124">
        <f t="shared" si="392"/>
        <v>59.6</v>
      </c>
      <c r="DY47" s="124">
        <f t="shared" si="393"/>
        <v>5.0399999999999983</v>
      </c>
      <c r="DZ47" s="124">
        <f t="shared" si="394"/>
        <v>56.8</v>
      </c>
      <c r="EA47" s="124">
        <f t="shared" si="395"/>
        <v>4.04</v>
      </c>
      <c r="EB47" s="124">
        <f t="shared" si="396"/>
        <v>54</v>
      </c>
      <c r="EC47" s="124">
        <f t="shared" si="397"/>
        <v>3.14</v>
      </c>
      <c r="ED47" s="124">
        <f t="shared" si="398"/>
        <v>86.7</v>
      </c>
      <c r="EE47" s="124">
        <f t="shared" si="399"/>
        <v>5.0399999999999983</v>
      </c>
      <c r="EF47" s="124">
        <f t="shared" si="400"/>
        <v>83.35</v>
      </c>
      <c r="EG47" s="124">
        <f t="shared" si="401"/>
        <v>3.9400000000000004</v>
      </c>
      <c r="EH47" s="124">
        <f t="shared" si="402"/>
        <v>80</v>
      </c>
      <c r="EI47" s="124">
        <f t="shared" si="403"/>
        <v>3.14</v>
      </c>
      <c r="EJ47" s="102">
        <f t="shared" si="349"/>
        <v>6.9647058823529582</v>
      </c>
      <c r="EK47" s="102">
        <f t="shared" si="350"/>
        <v>5.3058823529411843</v>
      </c>
      <c r="EL47" s="102">
        <f t="shared" si="351"/>
        <v>6.6647058823529584</v>
      </c>
      <c r="EM47" s="102">
        <f t="shared" si="352"/>
        <v>4.0470588235294205</v>
      </c>
      <c r="EN47" s="102">
        <f t="shared" si="353"/>
        <v>6.2058823529411891</v>
      </c>
      <c r="EO47" s="102">
        <f t="shared" si="354"/>
        <v>3.2176470588235357</v>
      </c>
      <c r="EP47" s="102">
        <v>9.6999999999999993</v>
      </c>
      <c r="EQ47" s="102">
        <v>5.9</v>
      </c>
      <c r="ER47" s="102">
        <v>9.4</v>
      </c>
      <c r="ES47" s="102">
        <v>4.5</v>
      </c>
      <c r="ET47" s="102">
        <v>8.9</v>
      </c>
      <c r="EU47" s="102">
        <v>3.4</v>
      </c>
      <c r="EV47" s="102">
        <v>13.6</v>
      </c>
      <c r="EW47" s="102">
        <v>6.2</v>
      </c>
      <c r="EX47" s="102">
        <v>12.9</v>
      </c>
      <c r="EY47" s="102">
        <v>4.5999999999999996</v>
      </c>
      <c r="EZ47" s="102">
        <v>12</v>
      </c>
      <c r="FA47" s="102">
        <v>3.5</v>
      </c>
      <c r="FB47" s="102">
        <v>17.100000000000001</v>
      </c>
      <c r="FC47" s="102">
        <v>6.2</v>
      </c>
      <c r="FD47" s="102">
        <v>16.3</v>
      </c>
      <c r="FE47" s="102">
        <v>4.7</v>
      </c>
      <c r="FF47" s="102">
        <v>15.6</v>
      </c>
      <c r="FG47" s="102">
        <v>3.7</v>
      </c>
      <c r="FH47" s="102">
        <v>21.5</v>
      </c>
      <c r="FI47" s="102">
        <v>5.7</v>
      </c>
      <c r="FJ47" s="102">
        <v>20.5</v>
      </c>
      <c r="FK47" s="102">
        <v>4.4000000000000004</v>
      </c>
      <c r="FL47" s="102">
        <v>19.3</v>
      </c>
      <c r="FM47" s="102">
        <v>3.4</v>
      </c>
    </row>
    <row r="48" spans="1:169" s="89" customFormat="1" x14ac:dyDescent="0.25">
      <c r="A48" s="89">
        <v>16</v>
      </c>
      <c r="B48" s="120">
        <v>7.0628571428571423</v>
      </c>
      <c r="C48" s="120">
        <v>3.9699999999999998</v>
      </c>
      <c r="D48" s="120">
        <v>9.7328571428571422</v>
      </c>
      <c r="E48" s="120">
        <v>4.0014285714285709</v>
      </c>
      <c r="F48" s="120">
        <v>13.914693877551022</v>
      </c>
      <c r="G48" s="120">
        <v>3.8883673469387756</v>
      </c>
      <c r="H48" s="120">
        <v>16.838571428571427</v>
      </c>
      <c r="I48" s="120">
        <v>3.8971428571428577</v>
      </c>
      <c r="J48" s="120">
        <v>20.472857142857144</v>
      </c>
      <c r="K48" s="120">
        <v>3.8471428571428574</v>
      </c>
      <c r="L48" s="120">
        <v>6.9014285714285712</v>
      </c>
      <c r="M48" s="120">
        <v>3.4528571428571428</v>
      </c>
      <c r="N48" s="120">
        <v>9.3614285714285721</v>
      </c>
      <c r="O48" s="120">
        <v>3.6414285714285715</v>
      </c>
      <c r="P48" s="120">
        <v>13.709183673469388</v>
      </c>
      <c r="Q48" s="120">
        <v>3.3244897959183675</v>
      </c>
      <c r="R48" s="120">
        <v>16.600000000000001</v>
      </c>
      <c r="S48" s="120">
        <v>3.3328571428571427</v>
      </c>
      <c r="T48" s="120">
        <v>18.987142857142857</v>
      </c>
      <c r="U48" s="120">
        <v>3.2857142857142856</v>
      </c>
      <c r="V48" s="120">
        <v>6.56</v>
      </c>
      <c r="W48" s="120">
        <v>2.7214285714285715</v>
      </c>
      <c r="X48" s="120">
        <v>8.3242857142857147</v>
      </c>
      <c r="Y48" s="120">
        <v>2.8542857142857136</v>
      </c>
      <c r="Z48" s="120">
        <v>11.658367346938777</v>
      </c>
      <c r="AA48" s="120">
        <v>2.7616326530612247</v>
      </c>
      <c r="AB48" s="120">
        <v>15.61</v>
      </c>
      <c r="AC48" s="120">
        <v>2.7314285714285718</v>
      </c>
      <c r="AD48" s="120">
        <v>16.912857142857142</v>
      </c>
      <c r="AE48" s="120">
        <v>2.67</v>
      </c>
      <c r="AF48" s="125">
        <f t="shared" si="404"/>
        <v>52.265689655172423</v>
      </c>
      <c r="AG48" s="125">
        <f t="shared" si="355"/>
        <v>5.9300000000000015</v>
      </c>
      <c r="AH48" s="125">
        <f t="shared" si="355"/>
        <v>60.629999999999995</v>
      </c>
      <c r="AI48" s="125">
        <f t="shared" si="355"/>
        <v>6.0200000000000014</v>
      </c>
      <c r="AJ48" s="125">
        <f t="shared" si="355"/>
        <v>78.401034482758604</v>
      </c>
      <c r="AK48" s="125">
        <f t="shared" si="355"/>
        <v>5.9000000000000012</v>
      </c>
      <c r="AL48" s="125">
        <f t="shared" si="355"/>
        <v>47.980517241379303</v>
      </c>
      <c r="AM48" s="125">
        <f t="shared" si="355"/>
        <v>4.6300000000000017</v>
      </c>
      <c r="AN48" s="125">
        <f t="shared" si="355"/>
        <v>55.66</v>
      </c>
      <c r="AO48" s="125">
        <f t="shared" si="355"/>
        <v>4.7200000000000015</v>
      </c>
      <c r="AP48" s="125">
        <f t="shared" si="355"/>
        <v>71.973275862068959</v>
      </c>
      <c r="AQ48" s="125">
        <f t="shared" si="355"/>
        <v>4.6099999999999994</v>
      </c>
      <c r="AR48" s="125">
        <f t="shared" si="355"/>
        <v>43.811206896551731</v>
      </c>
      <c r="AS48" s="125">
        <f t="shared" si="355"/>
        <v>3.5700000000000007</v>
      </c>
      <c r="AT48" s="125">
        <f t="shared" si="355"/>
        <v>50.819999999999993</v>
      </c>
      <c r="AU48" s="125">
        <f t="shared" si="355"/>
        <v>3.6600000000000006</v>
      </c>
      <c r="AV48" s="125">
        <f t="shared" si="355"/>
        <v>65.714310344827595</v>
      </c>
      <c r="AW48" s="125">
        <f t="shared" si="355"/>
        <v>3.5400000000000009</v>
      </c>
      <c r="AX48" s="122">
        <f>(AX$52-AX$47)/5+AX47</f>
        <v>7.4720000000000004</v>
      </c>
      <c r="AY48" s="122">
        <f t="shared" ref="AY48:BU51" si="406">(AY$52-AY$47)/5+AY47</f>
        <v>5.89</v>
      </c>
      <c r="AZ48" s="122">
        <f t="shared" si="406"/>
        <v>9.1760000000000002</v>
      </c>
      <c r="BA48" s="122">
        <f t="shared" si="406"/>
        <v>5.3540000000000001</v>
      </c>
      <c r="BB48" s="122">
        <f t="shared" si="406"/>
        <v>12.155999999999999</v>
      </c>
      <c r="BC48" s="122">
        <f t="shared" si="406"/>
        <v>4.8819999999999997</v>
      </c>
      <c r="BD48" s="122">
        <f t="shared" si="406"/>
        <v>18.874000000000002</v>
      </c>
      <c r="BE48" s="122">
        <f t="shared" si="406"/>
        <v>5.3659999999999997</v>
      </c>
      <c r="BF48" s="122">
        <f t="shared" si="406"/>
        <v>7.4480000000000004</v>
      </c>
      <c r="BG48" s="122">
        <f t="shared" si="406"/>
        <v>4.6619999999999999</v>
      </c>
      <c r="BH48" s="122">
        <f t="shared" si="406"/>
        <v>8.838000000000001</v>
      </c>
      <c r="BI48" s="122">
        <f t="shared" si="406"/>
        <v>4.3380000000000001</v>
      </c>
      <c r="BJ48" s="122">
        <f t="shared" si="406"/>
        <v>11.84</v>
      </c>
      <c r="BK48" s="122">
        <f t="shared" si="406"/>
        <v>4.0039999999999996</v>
      </c>
      <c r="BL48" s="122">
        <f t="shared" si="406"/>
        <v>17.884</v>
      </c>
      <c r="BM48" s="122">
        <f t="shared" si="406"/>
        <v>4.4219999999999997</v>
      </c>
      <c r="BN48" s="122">
        <f t="shared" si="406"/>
        <v>7.4420000000000002</v>
      </c>
      <c r="BO48" s="122">
        <f t="shared" si="406"/>
        <v>3.76</v>
      </c>
      <c r="BP48" s="122">
        <f t="shared" si="406"/>
        <v>8.363999999999999</v>
      </c>
      <c r="BQ48" s="122">
        <f t="shared" si="406"/>
        <v>3.5140000000000002</v>
      </c>
      <c r="BR48" s="122">
        <f t="shared" si="406"/>
        <v>11.18</v>
      </c>
      <c r="BS48" s="122">
        <f t="shared" si="406"/>
        <v>3.3040000000000003</v>
      </c>
      <c r="BT48" s="122">
        <f t="shared" si="406"/>
        <v>17.027999999999999</v>
      </c>
      <c r="BU48" s="122">
        <f t="shared" si="406"/>
        <v>3.6579999999999999</v>
      </c>
      <c r="BV48" s="123">
        <v>22.9</v>
      </c>
      <c r="BW48" s="123">
        <f t="shared" si="405"/>
        <v>5.549999999999998</v>
      </c>
      <c r="BX48" s="123">
        <f t="shared" si="357"/>
        <v>23.1</v>
      </c>
      <c r="BY48" s="123">
        <f t="shared" si="357"/>
        <v>4.4499999999999984</v>
      </c>
      <c r="BZ48" s="123">
        <f t="shared" si="357"/>
        <v>23.3</v>
      </c>
      <c r="CA48" s="123">
        <f t="shared" si="357"/>
        <v>3.68</v>
      </c>
      <c r="CB48" s="123">
        <f t="shared" si="357"/>
        <v>28.9</v>
      </c>
      <c r="CC48" s="123">
        <f t="shared" si="357"/>
        <v>5.5799999999999983</v>
      </c>
      <c r="CD48" s="123">
        <f t="shared" si="357"/>
        <v>29.1</v>
      </c>
      <c r="CE48" s="123">
        <f t="shared" si="357"/>
        <v>4.4599999999999982</v>
      </c>
      <c r="CF48" s="123">
        <f t="shared" si="357"/>
        <v>29.3</v>
      </c>
      <c r="CG48" s="123">
        <f t="shared" si="357"/>
        <v>3.6100000000000003</v>
      </c>
      <c r="CH48" s="123">
        <f t="shared" si="357"/>
        <v>38.700000000000003</v>
      </c>
      <c r="CI48" s="123">
        <f t="shared" si="357"/>
        <v>5.1299999999999981</v>
      </c>
      <c r="CJ48" s="123">
        <f t="shared" si="357"/>
        <v>38.5</v>
      </c>
      <c r="CK48" s="123">
        <f t="shared" si="357"/>
        <v>4.4499999999999984</v>
      </c>
      <c r="CL48" s="123">
        <f t="shared" si="357"/>
        <v>38.799999999999997</v>
      </c>
      <c r="CM48" s="123">
        <f t="shared" si="357"/>
        <v>3.6</v>
      </c>
      <c r="CN48" s="123">
        <f t="shared" si="357"/>
        <v>47.5</v>
      </c>
      <c r="CO48" s="123">
        <f t="shared" si="357"/>
        <v>5.4399999999999986</v>
      </c>
      <c r="CP48" s="123">
        <f t="shared" si="358"/>
        <v>47</v>
      </c>
      <c r="CQ48" s="123">
        <f t="shared" si="359"/>
        <v>4.4299999999999988</v>
      </c>
      <c r="CR48" s="123">
        <f t="shared" si="360"/>
        <v>47.7</v>
      </c>
      <c r="CS48" s="123">
        <f t="shared" si="361"/>
        <v>3.7</v>
      </c>
      <c r="CT48" s="123">
        <f t="shared" si="362"/>
        <v>54.9</v>
      </c>
      <c r="CU48" s="123">
        <f t="shared" si="363"/>
        <v>5.4399999999999986</v>
      </c>
      <c r="CV48" s="123">
        <f t="shared" si="364"/>
        <v>56.2</v>
      </c>
      <c r="CW48" s="123">
        <f t="shared" si="365"/>
        <v>4.4299999999999988</v>
      </c>
      <c r="CX48" s="123">
        <f t="shared" si="366"/>
        <v>57.2</v>
      </c>
      <c r="CY48" s="123">
        <f t="shared" si="367"/>
        <v>3.7</v>
      </c>
      <c r="CZ48" s="123">
        <f t="shared" si="368"/>
        <v>64</v>
      </c>
      <c r="DA48" s="123">
        <f t="shared" si="369"/>
        <v>5.4899999999999984</v>
      </c>
      <c r="DB48" s="123">
        <f t="shared" si="370"/>
        <v>64.7</v>
      </c>
      <c r="DC48" s="123">
        <f t="shared" si="371"/>
        <v>4.4099999999999984</v>
      </c>
      <c r="DD48" s="123">
        <f t="shared" si="372"/>
        <v>64</v>
      </c>
      <c r="DE48" s="123">
        <f t="shared" si="373"/>
        <v>3.5</v>
      </c>
      <c r="DF48" s="123">
        <f t="shared" si="374"/>
        <v>72.8</v>
      </c>
      <c r="DG48" s="123">
        <f t="shared" si="375"/>
        <v>5.2499999999999982</v>
      </c>
      <c r="DH48" s="123">
        <f t="shared" si="376"/>
        <v>74.099999999999994</v>
      </c>
      <c r="DI48" s="123">
        <f t="shared" si="377"/>
        <v>4.2899999999999983</v>
      </c>
      <c r="DJ48" s="123">
        <f t="shared" si="378"/>
        <v>73.900000000000006</v>
      </c>
      <c r="DK48" s="123">
        <f t="shared" si="379"/>
        <v>3.58</v>
      </c>
      <c r="DL48" s="123">
        <f t="shared" si="380"/>
        <v>78.3</v>
      </c>
      <c r="DM48" s="123">
        <f t="shared" si="381"/>
        <v>5.299999999999998</v>
      </c>
      <c r="DN48" s="123">
        <f t="shared" si="382"/>
        <v>80.3</v>
      </c>
      <c r="DO48" s="123">
        <f t="shared" si="383"/>
        <v>4.3999999999999986</v>
      </c>
      <c r="DP48" s="123">
        <f t="shared" si="384"/>
        <v>81.099999999999994</v>
      </c>
      <c r="DQ48" s="123">
        <f t="shared" si="385"/>
        <v>3.7300000000000004</v>
      </c>
      <c r="DR48" s="124">
        <f t="shared" si="386"/>
        <v>44.6</v>
      </c>
      <c r="DS48" s="124">
        <f t="shared" si="387"/>
        <v>4.7399999999999984</v>
      </c>
      <c r="DT48" s="124">
        <f t="shared" si="388"/>
        <v>42.8</v>
      </c>
      <c r="DU48" s="124">
        <f t="shared" si="389"/>
        <v>3.74</v>
      </c>
      <c r="DV48" s="124">
        <f t="shared" si="390"/>
        <v>41</v>
      </c>
      <c r="DW48" s="124">
        <f t="shared" si="391"/>
        <v>3.14</v>
      </c>
      <c r="DX48" s="124">
        <f t="shared" si="392"/>
        <v>59.6</v>
      </c>
      <c r="DY48" s="124">
        <f t="shared" si="393"/>
        <v>5.0399999999999983</v>
      </c>
      <c r="DZ48" s="124">
        <f t="shared" si="394"/>
        <v>56.8</v>
      </c>
      <c r="EA48" s="124">
        <f t="shared" si="395"/>
        <v>4.04</v>
      </c>
      <c r="EB48" s="124">
        <f t="shared" si="396"/>
        <v>54</v>
      </c>
      <c r="EC48" s="124">
        <f t="shared" si="397"/>
        <v>3.14</v>
      </c>
      <c r="ED48" s="124">
        <f t="shared" si="398"/>
        <v>86.7</v>
      </c>
      <c r="EE48" s="124">
        <f t="shared" si="399"/>
        <v>5.0399999999999983</v>
      </c>
      <c r="EF48" s="124">
        <f t="shared" si="400"/>
        <v>83.35</v>
      </c>
      <c r="EG48" s="124">
        <f t="shared" si="401"/>
        <v>3.9400000000000004</v>
      </c>
      <c r="EH48" s="124">
        <f t="shared" si="402"/>
        <v>80</v>
      </c>
      <c r="EI48" s="124">
        <f t="shared" si="403"/>
        <v>3.14</v>
      </c>
      <c r="EJ48" s="102">
        <f t="shared" si="349"/>
        <v>6.9647058823529582</v>
      </c>
      <c r="EK48" s="102">
        <f t="shared" si="350"/>
        <v>5.3058823529411843</v>
      </c>
      <c r="EL48" s="102">
        <f t="shared" si="351"/>
        <v>6.6647058823529584</v>
      </c>
      <c r="EM48" s="102">
        <f t="shared" si="352"/>
        <v>4.0470588235294205</v>
      </c>
      <c r="EN48" s="102">
        <f t="shared" si="353"/>
        <v>6.2058823529411891</v>
      </c>
      <c r="EO48" s="102">
        <f t="shared" si="354"/>
        <v>3.2176470588235357</v>
      </c>
      <c r="EP48" s="102">
        <v>9.6999999999999993</v>
      </c>
      <c r="EQ48" s="102">
        <v>5.9</v>
      </c>
      <c r="ER48" s="102">
        <v>9.4</v>
      </c>
      <c r="ES48" s="102">
        <v>4.5</v>
      </c>
      <c r="ET48" s="102">
        <v>8.9</v>
      </c>
      <c r="EU48" s="102">
        <v>3.4</v>
      </c>
      <c r="EV48" s="102">
        <v>13.6</v>
      </c>
      <c r="EW48" s="102">
        <v>6.2</v>
      </c>
      <c r="EX48" s="102">
        <v>12.9</v>
      </c>
      <c r="EY48" s="102">
        <v>4.5999999999999996</v>
      </c>
      <c r="EZ48" s="102">
        <v>12</v>
      </c>
      <c r="FA48" s="102">
        <v>3.5</v>
      </c>
      <c r="FB48" s="102">
        <v>17.100000000000001</v>
      </c>
      <c r="FC48" s="102">
        <v>6.2</v>
      </c>
      <c r="FD48" s="102">
        <v>16.3</v>
      </c>
      <c r="FE48" s="102">
        <v>4.7</v>
      </c>
      <c r="FF48" s="102">
        <v>15.6</v>
      </c>
      <c r="FG48" s="102">
        <v>3.7</v>
      </c>
      <c r="FH48" s="102">
        <v>21.5</v>
      </c>
      <c r="FI48" s="102">
        <v>5.7</v>
      </c>
      <c r="FJ48" s="102">
        <v>20.5</v>
      </c>
      <c r="FK48" s="102">
        <v>4.4000000000000004</v>
      </c>
      <c r="FL48" s="102">
        <v>19.3</v>
      </c>
      <c r="FM48" s="102">
        <v>3.4</v>
      </c>
    </row>
    <row r="49" spans="1:171" s="89" customFormat="1" x14ac:dyDescent="0.25">
      <c r="A49" s="89">
        <v>17</v>
      </c>
      <c r="B49" s="120">
        <v>7.1221428571428573</v>
      </c>
      <c r="C49" s="120">
        <v>4.04</v>
      </c>
      <c r="D49" s="120">
        <v>9.8371428571428563</v>
      </c>
      <c r="E49" s="120">
        <v>4.0785714285714283</v>
      </c>
      <c r="F49" s="120">
        <v>14.081020408163266</v>
      </c>
      <c r="G49" s="120">
        <v>3.9587755102040818</v>
      </c>
      <c r="H49" s="120">
        <v>17.051428571428573</v>
      </c>
      <c r="I49" s="120">
        <v>4.0028571428571436</v>
      </c>
      <c r="J49" s="120">
        <v>20.712142857142858</v>
      </c>
      <c r="K49" s="120">
        <v>3.9328571428571428</v>
      </c>
      <c r="L49" s="120">
        <v>6.9535714285714283</v>
      </c>
      <c r="M49" s="120">
        <v>3.5221428571428572</v>
      </c>
      <c r="N49" s="120">
        <v>9.4735714285714288</v>
      </c>
      <c r="O49" s="120">
        <v>3.7035714285714287</v>
      </c>
      <c r="P49" s="120">
        <v>13.859387755102041</v>
      </c>
      <c r="Q49" s="120">
        <v>3.3983673469387758</v>
      </c>
      <c r="R49" s="120">
        <v>16.78</v>
      </c>
      <c r="S49" s="120">
        <v>3.4121428571428569</v>
      </c>
      <c r="T49" s="120">
        <v>19.217857142857145</v>
      </c>
      <c r="U49" s="120">
        <v>3.3492857142857142</v>
      </c>
      <c r="V49" s="120">
        <v>6.6199999999999992</v>
      </c>
      <c r="W49" s="120">
        <v>2.7785714285714285</v>
      </c>
      <c r="X49" s="120">
        <v>8.430714285714286</v>
      </c>
      <c r="Y49" s="120">
        <v>2.9107142857142856</v>
      </c>
      <c r="Z49" s="120">
        <v>11.818775510204082</v>
      </c>
      <c r="AA49" s="120">
        <v>2.8112244897959182</v>
      </c>
      <c r="AB49" s="120">
        <v>15.8</v>
      </c>
      <c r="AC49" s="120">
        <v>2.8135714285714286</v>
      </c>
      <c r="AD49" s="120">
        <v>17.107142857142858</v>
      </c>
      <c r="AE49" s="120">
        <v>2.7350000000000003</v>
      </c>
      <c r="AF49" s="125">
        <f t="shared" si="404"/>
        <v>52.771767241379322</v>
      </c>
      <c r="AG49" s="125">
        <f t="shared" si="355"/>
        <v>6.1250000000000018</v>
      </c>
      <c r="AH49" s="125">
        <f t="shared" si="355"/>
        <v>61.217499999999994</v>
      </c>
      <c r="AI49" s="125">
        <f t="shared" si="355"/>
        <v>6.2150000000000016</v>
      </c>
      <c r="AJ49" s="125">
        <f t="shared" si="355"/>
        <v>79.160775862068945</v>
      </c>
      <c r="AK49" s="125">
        <f t="shared" si="355"/>
        <v>6.0950000000000015</v>
      </c>
      <c r="AL49" s="125">
        <f t="shared" si="355"/>
        <v>48.492887931034474</v>
      </c>
      <c r="AM49" s="125">
        <f t="shared" si="355"/>
        <v>4.762500000000002</v>
      </c>
      <c r="AN49" s="125">
        <f t="shared" si="355"/>
        <v>56.254999999999995</v>
      </c>
      <c r="AO49" s="125">
        <f t="shared" si="355"/>
        <v>4.8525000000000018</v>
      </c>
      <c r="AP49" s="125">
        <f t="shared" si="355"/>
        <v>72.742456896551715</v>
      </c>
      <c r="AQ49" s="125">
        <f t="shared" si="355"/>
        <v>4.7449999999999992</v>
      </c>
      <c r="AR49" s="125">
        <f t="shared" si="355"/>
        <v>44.345905172413801</v>
      </c>
      <c r="AS49" s="125">
        <f t="shared" si="355"/>
        <v>3.6475000000000009</v>
      </c>
      <c r="AT49" s="125">
        <f t="shared" si="355"/>
        <v>51.439999999999991</v>
      </c>
      <c r="AU49" s="125">
        <f t="shared" si="355"/>
        <v>3.7375000000000007</v>
      </c>
      <c r="AV49" s="125">
        <f t="shared" si="355"/>
        <v>66.5157327586207</v>
      </c>
      <c r="AW49" s="125">
        <f t="shared" si="355"/>
        <v>3.617500000000001</v>
      </c>
      <c r="AX49" s="122">
        <f t="shared" ref="AX49:AX51" si="407">(AX$52-AX$47)/5+AX48</f>
        <v>7.4540000000000006</v>
      </c>
      <c r="AY49" s="122">
        <f t="shared" si="406"/>
        <v>6.1099999999999994</v>
      </c>
      <c r="AZ49" s="122">
        <f t="shared" si="406"/>
        <v>9.2720000000000002</v>
      </c>
      <c r="BA49" s="122">
        <f t="shared" si="406"/>
        <v>5.4880000000000004</v>
      </c>
      <c r="BB49" s="122">
        <f t="shared" si="406"/>
        <v>12.281999999999998</v>
      </c>
      <c r="BC49" s="122">
        <f t="shared" si="406"/>
        <v>4.9939999999999998</v>
      </c>
      <c r="BD49" s="122">
        <f t="shared" si="406"/>
        <v>19.038000000000004</v>
      </c>
      <c r="BE49" s="122">
        <f t="shared" si="406"/>
        <v>5.5119999999999996</v>
      </c>
      <c r="BF49" s="122">
        <f t="shared" si="406"/>
        <v>7.4560000000000004</v>
      </c>
      <c r="BG49" s="122">
        <f t="shared" si="406"/>
        <v>4.7939999999999996</v>
      </c>
      <c r="BH49" s="122">
        <f t="shared" si="406"/>
        <v>8.9660000000000011</v>
      </c>
      <c r="BI49" s="122">
        <f t="shared" si="406"/>
        <v>4.4459999999999997</v>
      </c>
      <c r="BJ49" s="122">
        <f t="shared" si="406"/>
        <v>11.959999999999999</v>
      </c>
      <c r="BK49" s="122">
        <f t="shared" si="406"/>
        <v>4.0879999999999992</v>
      </c>
      <c r="BL49" s="122">
        <f t="shared" si="406"/>
        <v>18.028000000000002</v>
      </c>
      <c r="BM49" s="122">
        <f t="shared" si="406"/>
        <v>4.5339999999999998</v>
      </c>
      <c r="BN49" s="122">
        <f t="shared" si="406"/>
        <v>7.4540000000000006</v>
      </c>
      <c r="BO49" s="122">
        <f t="shared" si="406"/>
        <v>3.8499999999999996</v>
      </c>
      <c r="BP49" s="122">
        <f t="shared" si="406"/>
        <v>8.4679999999999982</v>
      </c>
      <c r="BQ49" s="122">
        <f t="shared" si="406"/>
        <v>3.5980000000000003</v>
      </c>
      <c r="BR49" s="122">
        <f t="shared" si="406"/>
        <v>11.309999999999999</v>
      </c>
      <c r="BS49" s="122">
        <f t="shared" si="406"/>
        <v>3.3680000000000003</v>
      </c>
      <c r="BT49" s="122">
        <f t="shared" si="406"/>
        <v>17.155999999999999</v>
      </c>
      <c r="BU49" s="122">
        <f t="shared" si="406"/>
        <v>3.746</v>
      </c>
      <c r="BV49" s="123">
        <v>22.9</v>
      </c>
      <c r="BW49" s="123">
        <f t="shared" si="405"/>
        <v>5.549999999999998</v>
      </c>
      <c r="BX49" s="123">
        <f t="shared" si="357"/>
        <v>23.1</v>
      </c>
      <c r="BY49" s="123">
        <f t="shared" si="357"/>
        <v>4.4499999999999984</v>
      </c>
      <c r="BZ49" s="123">
        <f t="shared" si="357"/>
        <v>23.3</v>
      </c>
      <c r="CA49" s="123">
        <f t="shared" si="357"/>
        <v>3.68</v>
      </c>
      <c r="CB49" s="123">
        <f t="shared" si="357"/>
        <v>28.9</v>
      </c>
      <c r="CC49" s="123">
        <f t="shared" si="357"/>
        <v>5.5799999999999983</v>
      </c>
      <c r="CD49" s="123">
        <f t="shared" si="357"/>
        <v>29.1</v>
      </c>
      <c r="CE49" s="123">
        <f t="shared" si="357"/>
        <v>4.4599999999999982</v>
      </c>
      <c r="CF49" s="123">
        <f t="shared" si="357"/>
        <v>29.3</v>
      </c>
      <c r="CG49" s="123">
        <f t="shared" si="357"/>
        <v>3.6100000000000003</v>
      </c>
      <c r="CH49" s="123">
        <f t="shared" si="357"/>
        <v>38.700000000000003</v>
      </c>
      <c r="CI49" s="123">
        <f t="shared" si="357"/>
        <v>5.1299999999999981</v>
      </c>
      <c r="CJ49" s="123">
        <f t="shared" si="357"/>
        <v>38.5</v>
      </c>
      <c r="CK49" s="123">
        <f t="shared" si="357"/>
        <v>4.4499999999999984</v>
      </c>
      <c r="CL49" s="123">
        <f t="shared" si="357"/>
        <v>38.799999999999997</v>
      </c>
      <c r="CM49" s="123">
        <f t="shared" si="357"/>
        <v>3.6</v>
      </c>
      <c r="CN49" s="123">
        <f t="shared" si="357"/>
        <v>47.5</v>
      </c>
      <c r="CO49" s="123">
        <f t="shared" si="357"/>
        <v>5.4399999999999986</v>
      </c>
      <c r="CP49" s="123">
        <f t="shared" si="358"/>
        <v>47</v>
      </c>
      <c r="CQ49" s="123">
        <f t="shared" si="359"/>
        <v>4.4299999999999988</v>
      </c>
      <c r="CR49" s="123">
        <f t="shared" si="360"/>
        <v>47.7</v>
      </c>
      <c r="CS49" s="123">
        <f t="shared" si="361"/>
        <v>3.7</v>
      </c>
      <c r="CT49" s="123">
        <f t="shared" si="362"/>
        <v>54.9</v>
      </c>
      <c r="CU49" s="123">
        <f t="shared" si="363"/>
        <v>5.4399999999999986</v>
      </c>
      <c r="CV49" s="123">
        <f t="shared" si="364"/>
        <v>56.2</v>
      </c>
      <c r="CW49" s="123">
        <f t="shared" si="365"/>
        <v>4.4299999999999988</v>
      </c>
      <c r="CX49" s="123">
        <f t="shared" si="366"/>
        <v>57.2</v>
      </c>
      <c r="CY49" s="123">
        <f t="shared" si="367"/>
        <v>3.7</v>
      </c>
      <c r="CZ49" s="123">
        <f t="shared" si="368"/>
        <v>64</v>
      </c>
      <c r="DA49" s="123">
        <f t="shared" si="369"/>
        <v>5.4899999999999984</v>
      </c>
      <c r="DB49" s="123">
        <f t="shared" si="370"/>
        <v>64.7</v>
      </c>
      <c r="DC49" s="123">
        <f t="shared" si="371"/>
        <v>4.4099999999999984</v>
      </c>
      <c r="DD49" s="123">
        <f t="shared" si="372"/>
        <v>64</v>
      </c>
      <c r="DE49" s="123">
        <f t="shared" si="373"/>
        <v>3.5</v>
      </c>
      <c r="DF49" s="123">
        <f t="shared" si="374"/>
        <v>72.8</v>
      </c>
      <c r="DG49" s="123">
        <f t="shared" si="375"/>
        <v>5.2499999999999982</v>
      </c>
      <c r="DH49" s="123">
        <f t="shared" si="376"/>
        <v>74.099999999999994</v>
      </c>
      <c r="DI49" s="123">
        <f t="shared" si="377"/>
        <v>4.2899999999999983</v>
      </c>
      <c r="DJ49" s="123">
        <f t="shared" si="378"/>
        <v>73.900000000000006</v>
      </c>
      <c r="DK49" s="123">
        <f t="shared" si="379"/>
        <v>3.58</v>
      </c>
      <c r="DL49" s="123">
        <f t="shared" si="380"/>
        <v>78.3</v>
      </c>
      <c r="DM49" s="123">
        <f t="shared" si="381"/>
        <v>5.299999999999998</v>
      </c>
      <c r="DN49" s="123">
        <f t="shared" si="382"/>
        <v>80.3</v>
      </c>
      <c r="DO49" s="123">
        <f t="shared" si="383"/>
        <v>4.3999999999999986</v>
      </c>
      <c r="DP49" s="123">
        <f t="shared" si="384"/>
        <v>81.099999999999994</v>
      </c>
      <c r="DQ49" s="123">
        <f t="shared" si="385"/>
        <v>3.7300000000000004</v>
      </c>
      <c r="DR49" s="124">
        <f t="shared" si="386"/>
        <v>44.6</v>
      </c>
      <c r="DS49" s="124">
        <f t="shared" si="387"/>
        <v>4.7399999999999984</v>
      </c>
      <c r="DT49" s="124">
        <f t="shared" si="388"/>
        <v>42.8</v>
      </c>
      <c r="DU49" s="124">
        <f t="shared" si="389"/>
        <v>3.74</v>
      </c>
      <c r="DV49" s="124">
        <f t="shared" si="390"/>
        <v>41</v>
      </c>
      <c r="DW49" s="124">
        <f t="shared" si="391"/>
        <v>3.14</v>
      </c>
      <c r="DX49" s="124">
        <f t="shared" si="392"/>
        <v>59.6</v>
      </c>
      <c r="DY49" s="124">
        <f t="shared" si="393"/>
        <v>5.0399999999999983</v>
      </c>
      <c r="DZ49" s="124">
        <f t="shared" si="394"/>
        <v>56.8</v>
      </c>
      <c r="EA49" s="124">
        <f t="shared" si="395"/>
        <v>4.04</v>
      </c>
      <c r="EB49" s="124">
        <f t="shared" si="396"/>
        <v>54</v>
      </c>
      <c r="EC49" s="124">
        <f t="shared" si="397"/>
        <v>3.14</v>
      </c>
      <c r="ED49" s="124">
        <f t="shared" si="398"/>
        <v>86.7</v>
      </c>
      <c r="EE49" s="124">
        <f t="shared" si="399"/>
        <v>5.0399999999999983</v>
      </c>
      <c r="EF49" s="124">
        <f t="shared" si="400"/>
        <v>83.35</v>
      </c>
      <c r="EG49" s="124">
        <f t="shared" si="401"/>
        <v>3.9400000000000004</v>
      </c>
      <c r="EH49" s="124">
        <f t="shared" si="402"/>
        <v>80</v>
      </c>
      <c r="EI49" s="124">
        <f t="shared" si="403"/>
        <v>3.14</v>
      </c>
      <c r="EJ49" s="102">
        <f t="shared" si="349"/>
        <v>6.9647058823529582</v>
      </c>
      <c r="EK49" s="102">
        <f t="shared" si="350"/>
        <v>5.3058823529411843</v>
      </c>
      <c r="EL49" s="102">
        <f t="shared" si="351"/>
        <v>6.6647058823529584</v>
      </c>
      <c r="EM49" s="102">
        <f t="shared" si="352"/>
        <v>4.0470588235294205</v>
      </c>
      <c r="EN49" s="102">
        <f t="shared" si="353"/>
        <v>6.2058823529411891</v>
      </c>
      <c r="EO49" s="102">
        <f t="shared" si="354"/>
        <v>3.2176470588235357</v>
      </c>
      <c r="EP49" s="102">
        <v>9.6999999999999993</v>
      </c>
      <c r="EQ49" s="102">
        <v>5.9</v>
      </c>
      <c r="ER49" s="102">
        <v>9.4</v>
      </c>
      <c r="ES49" s="102">
        <v>4.5</v>
      </c>
      <c r="ET49" s="102">
        <v>8.9</v>
      </c>
      <c r="EU49" s="102">
        <v>3.4</v>
      </c>
      <c r="EV49" s="102">
        <v>13.6</v>
      </c>
      <c r="EW49" s="102">
        <v>6.2</v>
      </c>
      <c r="EX49" s="102">
        <v>12.9</v>
      </c>
      <c r="EY49" s="102">
        <v>4.5999999999999996</v>
      </c>
      <c r="EZ49" s="102">
        <v>12</v>
      </c>
      <c r="FA49" s="102">
        <v>3.5</v>
      </c>
      <c r="FB49" s="102">
        <v>17.100000000000001</v>
      </c>
      <c r="FC49" s="102">
        <v>6.2</v>
      </c>
      <c r="FD49" s="102">
        <v>16.3</v>
      </c>
      <c r="FE49" s="102">
        <v>4.7</v>
      </c>
      <c r="FF49" s="102">
        <v>15.6</v>
      </c>
      <c r="FG49" s="102">
        <v>3.7</v>
      </c>
      <c r="FH49" s="102">
        <v>21.5</v>
      </c>
      <c r="FI49" s="102">
        <v>5.7</v>
      </c>
      <c r="FJ49" s="102">
        <v>20.5</v>
      </c>
      <c r="FK49" s="102">
        <v>4.4000000000000004</v>
      </c>
      <c r="FL49" s="102">
        <v>19.3</v>
      </c>
      <c r="FM49" s="102">
        <v>3.4</v>
      </c>
    </row>
    <row r="50" spans="1:171" s="89" customFormat="1" x14ac:dyDescent="0.25">
      <c r="A50" s="89">
        <v>18</v>
      </c>
      <c r="B50" s="120">
        <v>7.1814285714285715</v>
      </c>
      <c r="C50" s="120">
        <v>4.1100000000000003</v>
      </c>
      <c r="D50" s="120">
        <v>9.9414285714285704</v>
      </c>
      <c r="E50" s="120">
        <v>4.1557142857142857</v>
      </c>
      <c r="F50" s="120">
        <v>14.247346938775511</v>
      </c>
      <c r="G50" s="120">
        <v>4.0291836734693875</v>
      </c>
      <c r="H50" s="120">
        <v>17.264285714285716</v>
      </c>
      <c r="I50" s="120">
        <v>4.1085714285714294</v>
      </c>
      <c r="J50" s="120">
        <v>20.951428571428572</v>
      </c>
      <c r="K50" s="120">
        <v>4.0185714285714287</v>
      </c>
      <c r="L50" s="120">
        <v>7.0057142857142853</v>
      </c>
      <c r="M50" s="120">
        <v>3.5914285714285716</v>
      </c>
      <c r="N50" s="120">
        <v>9.5857142857142854</v>
      </c>
      <c r="O50" s="120">
        <v>3.765714285714286</v>
      </c>
      <c r="P50" s="120">
        <v>14.009591836734694</v>
      </c>
      <c r="Q50" s="120">
        <v>3.4722448979591838</v>
      </c>
      <c r="R50" s="120">
        <v>16.96</v>
      </c>
      <c r="S50" s="120">
        <v>3.4914285714285711</v>
      </c>
      <c r="T50" s="120">
        <v>19.44857142857143</v>
      </c>
      <c r="U50" s="120">
        <v>3.4128571428571428</v>
      </c>
      <c r="V50" s="120">
        <v>6.68</v>
      </c>
      <c r="W50" s="120">
        <v>2.8357142857142859</v>
      </c>
      <c r="X50" s="120">
        <v>8.5371428571428574</v>
      </c>
      <c r="Y50" s="120">
        <v>2.9671428571428571</v>
      </c>
      <c r="Z50" s="120">
        <v>11.979183673469388</v>
      </c>
      <c r="AA50" s="120">
        <v>2.8608163265306121</v>
      </c>
      <c r="AB50" s="120">
        <v>15.99</v>
      </c>
      <c r="AC50" s="120">
        <v>2.8957142857142859</v>
      </c>
      <c r="AD50" s="120">
        <v>17.301428571428573</v>
      </c>
      <c r="AE50" s="120">
        <v>2.8000000000000003</v>
      </c>
      <c r="AF50" s="125">
        <f t="shared" si="404"/>
        <v>53.277844827586222</v>
      </c>
      <c r="AG50" s="125">
        <f t="shared" si="355"/>
        <v>6.3200000000000021</v>
      </c>
      <c r="AH50" s="125">
        <f t="shared" si="355"/>
        <v>61.804999999999993</v>
      </c>
      <c r="AI50" s="125">
        <f t="shared" si="355"/>
        <v>6.4100000000000019</v>
      </c>
      <c r="AJ50" s="125">
        <f t="shared" si="355"/>
        <v>79.920517241379287</v>
      </c>
      <c r="AK50" s="125">
        <f t="shared" si="355"/>
        <v>6.2900000000000018</v>
      </c>
      <c r="AL50" s="125">
        <f t="shared" si="355"/>
        <v>49.005258620689645</v>
      </c>
      <c r="AM50" s="125">
        <f t="shared" si="355"/>
        <v>4.8950000000000022</v>
      </c>
      <c r="AN50" s="125">
        <f t="shared" si="355"/>
        <v>56.849999999999994</v>
      </c>
      <c r="AO50" s="125">
        <f t="shared" si="355"/>
        <v>4.9850000000000021</v>
      </c>
      <c r="AP50" s="125">
        <f t="shared" si="355"/>
        <v>73.511637931034471</v>
      </c>
      <c r="AQ50" s="125">
        <f t="shared" si="355"/>
        <v>4.879999999999999</v>
      </c>
      <c r="AR50" s="125">
        <f t="shared" si="355"/>
        <v>44.88060344827587</v>
      </c>
      <c r="AS50" s="125">
        <f t="shared" si="355"/>
        <v>3.725000000000001</v>
      </c>
      <c r="AT50" s="125">
        <f t="shared" si="355"/>
        <v>52.059999999999988</v>
      </c>
      <c r="AU50" s="125">
        <f t="shared" si="355"/>
        <v>3.8150000000000008</v>
      </c>
      <c r="AV50" s="125">
        <f t="shared" si="355"/>
        <v>67.317155172413806</v>
      </c>
      <c r="AW50" s="125">
        <f t="shared" si="355"/>
        <v>3.6950000000000012</v>
      </c>
      <c r="AX50" s="122">
        <f t="shared" si="407"/>
        <v>7.4360000000000008</v>
      </c>
      <c r="AY50" s="122">
        <f t="shared" si="406"/>
        <v>6.3299999999999992</v>
      </c>
      <c r="AZ50" s="122">
        <f t="shared" si="406"/>
        <v>9.3680000000000003</v>
      </c>
      <c r="BA50" s="122">
        <f t="shared" si="406"/>
        <v>5.6220000000000008</v>
      </c>
      <c r="BB50" s="122">
        <f t="shared" si="406"/>
        <v>12.407999999999998</v>
      </c>
      <c r="BC50" s="122">
        <f t="shared" si="406"/>
        <v>5.1059999999999999</v>
      </c>
      <c r="BD50" s="122">
        <f t="shared" si="406"/>
        <v>19.202000000000005</v>
      </c>
      <c r="BE50" s="122">
        <f t="shared" si="406"/>
        <v>5.6579999999999995</v>
      </c>
      <c r="BF50" s="122">
        <f t="shared" si="406"/>
        <v>7.4640000000000004</v>
      </c>
      <c r="BG50" s="122">
        <f t="shared" si="406"/>
        <v>4.9259999999999993</v>
      </c>
      <c r="BH50" s="122">
        <f t="shared" si="406"/>
        <v>9.0940000000000012</v>
      </c>
      <c r="BI50" s="122">
        <f t="shared" si="406"/>
        <v>4.5539999999999994</v>
      </c>
      <c r="BJ50" s="122">
        <f t="shared" si="406"/>
        <v>12.079999999999998</v>
      </c>
      <c r="BK50" s="122">
        <f t="shared" si="406"/>
        <v>4.1719999999999988</v>
      </c>
      <c r="BL50" s="122">
        <f t="shared" si="406"/>
        <v>18.172000000000004</v>
      </c>
      <c r="BM50" s="122">
        <f t="shared" si="406"/>
        <v>4.6459999999999999</v>
      </c>
      <c r="BN50" s="122">
        <f t="shared" si="406"/>
        <v>7.4660000000000011</v>
      </c>
      <c r="BO50" s="122">
        <f t="shared" si="406"/>
        <v>3.9399999999999995</v>
      </c>
      <c r="BP50" s="122">
        <f t="shared" si="406"/>
        <v>8.5719999999999974</v>
      </c>
      <c r="BQ50" s="122">
        <f t="shared" si="406"/>
        <v>3.6820000000000004</v>
      </c>
      <c r="BR50" s="122">
        <f t="shared" si="406"/>
        <v>11.439999999999998</v>
      </c>
      <c r="BS50" s="122">
        <f t="shared" si="406"/>
        <v>3.4320000000000004</v>
      </c>
      <c r="BT50" s="122">
        <f t="shared" si="406"/>
        <v>17.283999999999999</v>
      </c>
      <c r="BU50" s="122">
        <f t="shared" si="406"/>
        <v>3.8340000000000001</v>
      </c>
      <c r="BV50" s="123">
        <v>22.9</v>
      </c>
      <c r="BW50" s="123">
        <f t="shared" si="405"/>
        <v>5.549999999999998</v>
      </c>
      <c r="BX50" s="123">
        <f t="shared" si="357"/>
        <v>23.1</v>
      </c>
      <c r="BY50" s="123">
        <f t="shared" si="357"/>
        <v>4.4499999999999984</v>
      </c>
      <c r="BZ50" s="123">
        <f t="shared" si="357"/>
        <v>23.3</v>
      </c>
      <c r="CA50" s="123">
        <f t="shared" si="357"/>
        <v>3.68</v>
      </c>
      <c r="CB50" s="123">
        <f t="shared" si="357"/>
        <v>28.9</v>
      </c>
      <c r="CC50" s="123">
        <f t="shared" si="357"/>
        <v>5.5799999999999983</v>
      </c>
      <c r="CD50" s="123">
        <f t="shared" si="357"/>
        <v>29.1</v>
      </c>
      <c r="CE50" s="123">
        <f t="shared" si="357"/>
        <v>4.4599999999999982</v>
      </c>
      <c r="CF50" s="123">
        <f t="shared" si="357"/>
        <v>29.3</v>
      </c>
      <c r="CG50" s="123">
        <f t="shared" si="357"/>
        <v>3.6100000000000003</v>
      </c>
      <c r="CH50" s="123">
        <f t="shared" si="357"/>
        <v>38.700000000000003</v>
      </c>
      <c r="CI50" s="123">
        <f t="shared" si="357"/>
        <v>5.1299999999999981</v>
      </c>
      <c r="CJ50" s="123">
        <f t="shared" si="357"/>
        <v>38.5</v>
      </c>
      <c r="CK50" s="123">
        <f t="shared" si="357"/>
        <v>4.4499999999999984</v>
      </c>
      <c r="CL50" s="123">
        <f t="shared" si="357"/>
        <v>38.799999999999997</v>
      </c>
      <c r="CM50" s="123">
        <f t="shared" si="357"/>
        <v>3.6</v>
      </c>
      <c r="CN50" s="123">
        <f t="shared" si="357"/>
        <v>47.5</v>
      </c>
      <c r="CO50" s="123">
        <f t="shared" si="357"/>
        <v>5.4399999999999986</v>
      </c>
      <c r="CP50" s="123">
        <f t="shared" si="358"/>
        <v>47</v>
      </c>
      <c r="CQ50" s="123">
        <f t="shared" si="359"/>
        <v>4.4299999999999988</v>
      </c>
      <c r="CR50" s="123">
        <f t="shared" si="360"/>
        <v>47.7</v>
      </c>
      <c r="CS50" s="123">
        <f t="shared" si="361"/>
        <v>3.7</v>
      </c>
      <c r="CT50" s="123">
        <f t="shared" si="362"/>
        <v>54.9</v>
      </c>
      <c r="CU50" s="123">
        <f t="shared" si="363"/>
        <v>5.4399999999999986</v>
      </c>
      <c r="CV50" s="123">
        <f t="shared" si="364"/>
        <v>56.2</v>
      </c>
      <c r="CW50" s="123">
        <f t="shared" si="365"/>
        <v>4.4299999999999988</v>
      </c>
      <c r="CX50" s="123">
        <f t="shared" si="366"/>
        <v>57.2</v>
      </c>
      <c r="CY50" s="123">
        <f t="shared" si="367"/>
        <v>3.7</v>
      </c>
      <c r="CZ50" s="123">
        <f t="shared" si="368"/>
        <v>64</v>
      </c>
      <c r="DA50" s="123">
        <f t="shared" si="369"/>
        <v>5.4899999999999984</v>
      </c>
      <c r="DB50" s="123">
        <f t="shared" si="370"/>
        <v>64.7</v>
      </c>
      <c r="DC50" s="123">
        <f t="shared" si="371"/>
        <v>4.4099999999999984</v>
      </c>
      <c r="DD50" s="123">
        <f t="shared" si="372"/>
        <v>64</v>
      </c>
      <c r="DE50" s="123">
        <f t="shared" si="373"/>
        <v>3.5</v>
      </c>
      <c r="DF50" s="123">
        <f t="shared" si="374"/>
        <v>72.8</v>
      </c>
      <c r="DG50" s="123">
        <f t="shared" si="375"/>
        <v>5.2499999999999982</v>
      </c>
      <c r="DH50" s="123">
        <f t="shared" si="376"/>
        <v>74.099999999999994</v>
      </c>
      <c r="DI50" s="123">
        <f t="shared" si="377"/>
        <v>4.2899999999999983</v>
      </c>
      <c r="DJ50" s="123">
        <f t="shared" si="378"/>
        <v>73.900000000000006</v>
      </c>
      <c r="DK50" s="123">
        <f t="shared" si="379"/>
        <v>3.58</v>
      </c>
      <c r="DL50" s="123">
        <f t="shared" si="380"/>
        <v>78.3</v>
      </c>
      <c r="DM50" s="123">
        <f t="shared" si="381"/>
        <v>5.299999999999998</v>
      </c>
      <c r="DN50" s="123">
        <f t="shared" si="382"/>
        <v>80.3</v>
      </c>
      <c r="DO50" s="123">
        <f t="shared" si="383"/>
        <v>4.3999999999999986</v>
      </c>
      <c r="DP50" s="123">
        <f t="shared" si="384"/>
        <v>81.099999999999994</v>
      </c>
      <c r="DQ50" s="123">
        <f t="shared" si="385"/>
        <v>3.7300000000000004</v>
      </c>
      <c r="DR50" s="124">
        <f t="shared" si="386"/>
        <v>44.6</v>
      </c>
      <c r="DS50" s="124">
        <f t="shared" si="387"/>
        <v>4.7399999999999984</v>
      </c>
      <c r="DT50" s="124">
        <f t="shared" si="388"/>
        <v>42.8</v>
      </c>
      <c r="DU50" s="124">
        <f t="shared" si="389"/>
        <v>3.74</v>
      </c>
      <c r="DV50" s="124">
        <f t="shared" si="390"/>
        <v>41</v>
      </c>
      <c r="DW50" s="124">
        <f t="shared" si="391"/>
        <v>3.14</v>
      </c>
      <c r="DX50" s="124">
        <f t="shared" si="392"/>
        <v>59.6</v>
      </c>
      <c r="DY50" s="124">
        <f t="shared" si="393"/>
        <v>5.0399999999999983</v>
      </c>
      <c r="DZ50" s="124">
        <f t="shared" si="394"/>
        <v>56.8</v>
      </c>
      <c r="EA50" s="124">
        <f t="shared" si="395"/>
        <v>4.04</v>
      </c>
      <c r="EB50" s="124">
        <f t="shared" si="396"/>
        <v>54</v>
      </c>
      <c r="EC50" s="124">
        <f t="shared" si="397"/>
        <v>3.14</v>
      </c>
      <c r="ED50" s="124">
        <f t="shared" si="398"/>
        <v>86.7</v>
      </c>
      <c r="EE50" s="124">
        <f t="shared" si="399"/>
        <v>5.0399999999999983</v>
      </c>
      <c r="EF50" s="124">
        <f t="shared" si="400"/>
        <v>83.35</v>
      </c>
      <c r="EG50" s="124">
        <f t="shared" si="401"/>
        <v>3.9400000000000004</v>
      </c>
      <c r="EH50" s="124">
        <f t="shared" si="402"/>
        <v>80</v>
      </c>
      <c r="EI50" s="124">
        <f t="shared" si="403"/>
        <v>3.14</v>
      </c>
      <c r="EJ50" s="102">
        <f t="shared" si="349"/>
        <v>6.9647058823529582</v>
      </c>
      <c r="EK50" s="102">
        <f t="shared" si="350"/>
        <v>5.3058823529411843</v>
      </c>
      <c r="EL50" s="102">
        <f t="shared" si="351"/>
        <v>6.6647058823529584</v>
      </c>
      <c r="EM50" s="102">
        <f t="shared" si="352"/>
        <v>4.0470588235294205</v>
      </c>
      <c r="EN50" s="102">
        <f t="shared" si="353"/>
        <v>6.2058823529411891</v>
      </c>
      <c r="EO50" s="102">
        <f t="shared" si="354"/>
        <v>3.2176470588235357</v>
      </c>
      <c r="EP50" s="102">
        <v>9.6999999999999993</v>
      </c>
      <c r="EQ50" s="102">
        <v>5.9</v>
      </c>
      <c r="ER50" s="102">
        <v>9.4</v>
      </c>
      <c r="ES50" s="102">
        <v>4.5</v>
      </c>
      <c r="ET50" s="102">
        <v>8.9</v>
      </c>
      <c r="EU50" s="102">
        <v>3.4</v>
      </c>
      <c r="EV50" s="102">
        <v>13.6</v>
      </c>
      <c r="EW50" s="102">
        <v>6.2</v>
      </c>
      <c r="EX50" s="102">
        <v>12.9</v>
      </c>
      <c r="EY50" s="102">
        <v>4.5999999999999996</v>
      </c>
      <c r="EZ50" s="102">
        <v>12</v>
      </c>
      <c r="FA50" s="102">
        <v>3.5</v>
      </c>
      <c r="FB50" s="102">
        <v>17.100000000000001</v>
      </c>
      <c r="FC50" s="102">
        <v>6.2</v>
      </c>
      <c r="FD50" s="102">
        <v>16.3</v>
      </c>
      <c r="FE50" s="102">
        <v>4.7</v>
      </c>
      <c r="FF50" s="102">
        <v>15.6</v>
      </c>
      <c r="FG50" s="102">
        <v>3.7</v>
      </c>
      <c r="FH50" s="102">
        <v>21.5</v>
      </c>
      <c r="FI50" s="102">
        <v>5.7</v>
      </c>
      <c r="FJ50" s="102">
        <v>20.5</v>
      </c>
      <c r="FK50" s="102">
        <v>4.4000000000000004</v>
      </c>
      <c r="FL50" s="102">
        <v>19.3</v>
      </c>
      <c r="FM50" s="102">
        <v>3.4</v>
      </c>
    </row>
    <row r="51" spans="1:171" s="89" customFormat="1" x14ac:dyDescent="0.25">
      <c r="A51" s="89">
        <v>19</v>
      </c>
      <c r="B51" s="120">
        <v>7.2407142857142857</v>
      </c>
      <c r="C51" s="120">
        <v>4.18</v>
      </c>
      <c r="D51" s="120">
        <v>10.045714285714286</v>
      </c>
      <c r="E51" s="120">
        <v>4.2328571428571422</v>
      </c>
      <c r="F51" s="120">
        <v>14.413673469387755</v>
      </c>
      <c r="G51" s="120">
        <v>4.0995918367346942</v>
      </c>
      <c r="H51" s="120">
        <v>17.477142857142859</v>
      </c>
      <c r="I51" s="120">
        <v>4.2142857142857144</v>
      </c>
      <c r="J51" s="120">
        <v>21.190714285714286</v>
      </c>
      <c r="K51" s="120">
        <v>4.104285714285715</v>
      </c>
      <c r="L51" s="120">
        <v>7.0578571428571433</v>
      </c>
      <c r="M51" s="120">
        <v>3.6607142857142856</v>
      </c>
      <c r="N51" s="120">
        <v>9.6978571428571438</v>
      </c>
      <c r="O51" s="120">
        <v>3.8278571428571428</v>
      </c>
      <c r="P51" s="120">
        <v>14.159795918367347</v>
      </c>
      <c r="Q51" s="120">
        <v>3.5461224489795922</v>
      </c>
      <c r="R51" s="120">
        <v>17.14</v>
      </c>
      <c r="S51" s="120">
        <v>3.5707142857142857</v>
      </c>
      <c r="T51" s="120">
        <v>19.679285714285715</v>
      </c>
      <c r="U51" s="120">
        <v>3.4764285714285714</v>
      </c>
      <c r="V51" s="120">
        <v>6.7399999999999993</v>
      </c>
      <c r="W51" s="120">
        <v>2.8928571428571428</v>
      </c>
      <c r="X51" s="120">
        <v>8.6435714285714287</v>
      </c>
      <c r="Y51" s="120">
        <v>3.0235714285714286</v>
      </c>
      <c r="Z51" s="120">
        <v>12.139591836734695</v>
      </c>
      <c r="AA51" s="120">
        <v>2.910408163265306</v>
      </c>
      <c r="AB51" s="120">
        <v>16.18</v>
      </c>
      <c r="AC51" s="120">
        <v>2.9778571428571428</v>
      </c>
      <c r="AD51" s="120">
        <v>17.495714285714286</v>
      </c>
      <c r="AE51" s="120">
        <v>2.8650000000000002</v>
      </c>
      <c r="AF51" s="125">
        <f t="shared" si="404"/>
        <v>53.783922413793121</v>
      </c>
      <c r="AG51" s="125">
        <f t="shared" si="355"/>
        <v>6.5150000000000023</v>
      </c>
      <c r="AH51" s="125">
        <f t="shared" si="355"/>
        <v>62.392499999999991</v>
      </c>
      <c r="AI51" s="125">
        <f t="shared" si="355"/>
        <v>6.6050000000000022</v>
      </c>
      <c r="AJ51" s="125">
        <f t="shared" si="355"/>
        <v>80.680258620689628</v>
      </c>
      <c r="AK51" s="125">
        <f t="shared" si="355"/>
        <v>6.4850000000000021</v>
      </c>
      <c r="AL51" s="125">
        <f t="shared" si="355"/>
        <v>49.517629310344816</v>
      </c>
      <c r="AM51" s="125">
        <f t="shared" si="355"/>
        <v>5.0275000000000025</v>
      </c>
      <c r="AN51" s="125">
        <f t="shared" si="355"/>
        <v>57.444999999999993</v>
      </c>
      <c r="AO51" s="125">
        <f t="shared" si="355"/>
        <v>5.1175000000000024</v>
      </c>
      <c r="AP51" s="125">
        <f t="shared" si="355"/>
        <v>74.280818965517227</v>
      </c>
      <c r="AQ51" s="125">
        <f t="shared" si="355"/>
        <v>5.0149999999999988</v>
      </c>
      <c r="AR51" s="125">
        <f t="shared" si="355"/>
        <v>45.41530172413794</v>
      </c>
      <c r="AS51" s="125">
        <f t="shared" si="355"/>
        <v>3.8025000000000011</v>
      </c>
      <c r="AT51" s="125">
        <f t="shared" si="355"/>
        <v>52.679999999999986</v>
      </c>
      <c r="AU51" s="125">
        <f t="shared" si="355"/>
        <v>3.892500000000001</v>
      </c>
      <c r="AV51" s="125">
        <f t="shared" si="355"/>
        <v>68.118577586206911</v>
      </c>
      <c r="AW51" s="125">
        <f t="shared" si="355"/>
        <v>3.7725000000000013</v>
      </c>
      <c r="AX51" s="122">
        <f t="shared" si="407"/>
        <v>7.418000000000001</v>
      </c>
      <c r="AY51" s="122">
        <f t="shared" si="406"/>
        <v>6.5499999999999989</v>
      </c>
      <c r="AZ51" s="122">
        <f t="shared" si="406"/>
        <v>9.4640000000000004</v>
      </c>
      <c r="BA51" s="122">
        <f t="shared" si="406"/>
        <v>5.7560000000000011</v>
      </c>
      <c r="BB51" s="122">
        <f t="shared" si="406"/>
        <v>12.533999999999997</v>
      </c>
      <c r="BC51" s="122">
        <f t="shared" si="406"/>
        <v>5.218</v>
      </c>
      <c r="BD51" s="122">
        <f t="shared" si="406"/>
        <v>19.366000000000007</v>
      </c>
      <c r="BE51" s="122">
        <f t="shared" si="406"/>
        <v>5.8039999999999994</v>
      </c>
      <c r="BF51" s="122">
        <f t="shared" si="406"/>
        <v>7.4720000000000004</v>
      </c>
      <c r="BG51" s="122">
        <f t="shared" si="406"/>
        <v>5.0579999999999989</v>
      </c>
      <c r="BH51" s="122">
        <f t="shared" si="406"/>
        <v>9.2220000000000013</v>
      </c>
      <c r="BI51" s="122">
        <f t="shared" si="406"/>
        <v>4.661999999999999</v>
      </c>
      <c r="BJ51" s="122">
        <f t="shared" si="406"/>
        <v>12.199999999999998</v>
      </c>
      <c r="BK51" s="122">
        <f t="shared" si="406"/>
        <v>4.2559999999999985</v>
      </c>
      <c r="BL51" s="122">
        <f t="shared" si="406"/>
        <v>18.316000000000006</v>
      </c>
      <c r="BM51" s="122">
        <f t="shared" si="406"/>
        <v>4.758</v>
      </c>
      <c r="BN51" s="122">
        <f t="shared" si="406"/>
        <v>7.4780000000000015</v>
      </c>
      <c r="BO51" s="122">
        <f t="shared" si="406"/>
        <v>4.0299999999999994</v>
      </c>
      <c r="BP51" s="122">
        <f t="shared" si="406"/>
        <v>8.6759999999999966</v>
      </c>
      <c r="BQ51" s="122">
        <f t="shared" si="406"/>
        <v>3.7660000000000005</v>
      </c>
      <c r="BR51" s="122">
        <f t="shared" si="406"/>
        <v>11.569999999999997</v>
      </c>
      <c r="BS51" s="122">
        <f t="shared" si="406"/>
        <v>3.4960000000000004</v>
      </c>
      <c r="BT51" s="122">
        <f t="shared" si="406"/>
        <v>17.411999999999999</v>
      </c>
      <c r="BU51" s="122">
        <f t="shared" si="406"/>
        <v>3.9220000000000002</v>
      </c>
      <c r="BV51" s="123">
        <v>22.9</v>
      </c>
      <c r="BW51" s="123">
        <f t="shared" si="405"/>
        <v>5.549999999999998</v>
      </c>
      <c r="BX51" s="123">
        <f t="shared" si="357"/>
        <v>23.1</v>
      </c>
      <c r="BY51" s="123">
        <f t="shared" si="357"/>
        <v>4.4499999999999984</v>
      </c>
      <c r="BZ51" s="123">
        <f t="shared" si="357"/>
        <v>23.3</v>
      </c>
      <c r="CA51" s="123">
        <f t="shared" si="357"/>
        <v>3.68</v>
      </c>
      <c r="CB51" s="123">
        <f t="shared" si="357"/>
        <v>28.9</v>
      </c>
      <c r="CC51" s="123">
        <f t="shared" si="357"/>
        <v>5.5799999999999983</v>
      </c>
      <c r="CD51" s="123">
        <f t="shared" si="357"/>
        <v>29.1</v>
      </c>
      <c r="CE51" s="123">
        <f t="shared" si="357"/>
        <v>4.4599999999999982</v>
      </c>
      <c r="CF51" s="123">
        <f t="shared" si="357"/>
        <v>29.3</v>
      </c>
      <c r="CG51" s="123">
        <f t="shared" si="357"/>
        <v>3.6100000000000003</v>
      </c>
      <c r="CH51" s="123">
        <f t="shared" si="357"/>
        <v>38.700000000000003</v>
      </c>
      <c r="CI51" s="123">
        <f t="shared" si="357"/>
        <v>5.1299999999999981</v>
      </c>
      <c r="CJ51" s="123">
        <f t="shared" si="357"/>
        <v>38.5</v>
      </c>
      <c r="CK51" s="123">
        <f t="shared" si="357"/>
        <v>4.4499999999999984</v>
      </c>
      <c r="CL51" s="123">
        <f t="shared" si="357"/>
        <v>38.799999999999997</v>
      </c>
      <c r="CM51" s="123">
        <f t="shared" si="357"/>
        <v>3.6</v>
      </c>
      <c r="CN51" s="123">
        <f t="shared" si="357"/>
        <v>47.5</v>
      </c>
      <c r="CO51" s="123">
        <f t="shared" si="357"/>
        <v>5.4399999999999986</v>
      </c>
      <c r="CP51" s="123">
        <f t="shared" si="358"/>
        <v>47</v>
      </c>
      <c r="CQ51" s="123">
        <f t="shared" si="359"/>
        <v>4.4299999999999988</v>
      </c>
      <c r="CR51" s="123">
        <f t="shared" si="360"/>
        <v>47.7</v>
      </c>
      <c r="CS51" s="123">
        <f t="shared" si="361"/>
        <v>3.7</v>
      </c>
      <c r="CT51" s="123">
        <f t="shared" si="362"/>
        <v>54.9</v>
      </c>
      <c r="CU51" s="123">
        <f t="shared" si="363"/>
        <v>5.4399999999999986</v>
      </c>
      <c r="CV51" s="123">
        <f t="shared" si="364"/>
        <v>56.2</v>
      </c>
      <c r="CW51" s="123">
        <f t="shared" si="365"/>
        <v>4.4299999999999988</v>
      </c>
      <c r="CX51" s="123">
        <f t="shared" si="366"/>
        <v>57.2</v>
      </c>
      <c r="CY51" s="123">
        <f t="shared" si="367"/>
        <v>3.7</v>
      </c>
      <c r="CZ51" s="123">
        <f t="shared" si="368"/>
        <v>64</v>
      </c>
      <c r="DA51" s="123">
        <f t="shared" si="369"/>
        <v>5.4899999999999984</v>
      </c>
      <c r="DB51" s="123">
        <f t="shared" si="370"/>
        <v>64.7</v>
      </c>
      <c r="DC51" s="123">
        <f t="shared" si="371"/>
        <v>4.4099999999999984</v>
      </c>
      <c r="DD51" s="123">
        <f t="shared" si="372"/>
        <v>64</v>
      </c>
      <c r="DE51" s="123">
        <f t="shared" si="373"/>
        <v>3.5</v>
      </c>
      <c r="DF51" s="123">
        <f t="shared" si="374"/>
        <v>72.8</v>
      </c>
      <c r="DG51" s="123">
        <f t="shared" si="375"/>
        <v>5.2499999999999982</v>
      </c>
      <c r="DH51" s="123">
        <f t="shared" si="376"/>
        <v>74.099999999999994</v>
      </c>
      <c r="DI51" s="123">
        <f t="shared" si="377"/>
        <v>4.2899999999999983</v>
      </c>
      <c r="DJ51" s="123">
        <f t="shared" si="378"/>
        <v>73.900000000000006</v>
      </c>
      <c r="DK51" s="123">
        <f t="shared" si="379"/>
        <v>3.58</v>
      </c>
      <c r="DL51" s="123">
        <f t="shared" si="380"/>
        <v>78.3</v>
      </c>
      <c r="DM51" s="123">
        <f t="shared" si="381"/>
        <v>5.299999999999998</v>
      </c>
      <c r="DN51" s="123">
        <f t="shared" si="382"/>
        <v>80.3</v>
      </c>
      <c r="DO51" s="123">
        <f t="shared" si="383"/>
        <v>4.3999999999999986</v>
      </c>
      <c r="DP51" s="123">
        <f t="shared" si="384"/>
        <v>81.099999999999994</v>
      </c>
      <c r="DQ51" s="123">
        <f t="shared" si="385"/>
        <v>3.7300000000000004</v>
      </c>
      <c r="DR51" s="124">
        <f t="shared" si="386"/>
        <v>44.6</v>
      </c>
      <c r="DS51" s="124">
        <f t="shared" si="387"/>
        <v>4.7399999999999984</v>
      </c>
      <c r="DT51" s="124">
        <f t="shared" si="388"/>
        <v>42.8</v>
      </c>
      <c r="DU51" s="124">
        <f t="shared" si="389"/>
        <v>3.74</v>
      </c>
      <c r="DV51" s="124">
        <f t="shared" si="390"/>
        <v>41</v>
      </c>
      <c r="DW51" s="124">
        <f t="shared" si="391"/>
        <v>3.14</v>
      </c>
      <c r="DX51" s="124">
        <f t="shared" si="392"/>
        <v>59.6</v>
      </c>
      <c r="DY51" s="124">
        <f t="shared" si="393"/>
        <v>5.0399999999999983</v>
      </c>
      <c r="DZ51" s="124">
        <f t="shared" si="394"/>
        <v>56.8</v>
      </c>
      <c r="EA51" s="124">
        <f t="shared" si="395"/>
        <v>4.04</v>
      </c>
      <c r="EB51" s="124">
        <f t="shared" si="396"/>
        <v>54</v>
      </c>
      <c r="EC51" s="124">
        <f t="shared" si="397"/>
        <v>3.14</v>
      </c>
      <c r="ED51" s="124">
        <f t="shared" si="398"/>
        <v>86.7</v>
      </c>
      <c r="EE51" s="124">
        <f t="shared" si="399"/>
        <v>5.0399999999999983</v>
      </c>
      <c r="EF51" s="124">
        <f t="shared" si="400"/>
        <v>83.35</v>
      </c>
      <c r="EG51" s="124">
        <f t="shared" si="401"/>
        <v>3.9400000000000004</v>
      </c>
      <c r="EH51" s="124">
        <f t="shared" si="402"/>
        <v>80</v>
      </c>
      <c r="EI51" s="124">
        <f t="shared" si="403"/>
        <v>3.14</v>
      </c>
      <c r="EJ51" s="102">
        <f t="shared" si="349"/>
        <v>6.9647058823529582</v>
      </c>
      <c r="EK51" s="102">
        <f t="shared" si="350"/>
        <v>5.3058823529411843</v>
      </c>
      <c r="EL51" s="102">
        <f t="shared" si="351"/>
        <v>6.6647058823529584</v>
      </c>
      <c r="EM51" s="102">
        <f t="shared" si="352"/>
        <v>4.0470588235294205</v>
      </c>
      <c r="EN51" s="102">
        <f t="shared" si="353"/>
        <v>6.2058823529411891</v>
      </c>
      <c r="EO51" s="102">
        <f t="shared" si="354"/>
        <v>3.2176470588235357</v>
      </c>
      <c r="EP51" s="102">
        <v>9.6999999999999993</v>
      </c>
      <c r="EQ51" s="102">
        <v>5.9</v>
      </c>
      <c r="ER51" s="102">
        <v>9.4</v>
      </c>
      <c r="ES51" s="102">
        <v>4.5</v>
      </c>
      <c r="ET51" s="102">
        <v>8.9</v>
      </c>
      <c r="EU51" s="102">
        <v>3.4</v>
      </c>
      <c r="EV51" s="102">
        <v>13.6</v>
      </c>
      <c r="EW51" s="102">
        <v>6.2</v>
      </c>
      <c r="EX51" s="102">
        <v>12.9</v>
      </c>
      <c r="EY51" s="102">
        <v>4.5999999999999996</v>
      </c>
      <c r="EZ51" s="102">
        <v>12</v>
      </c>
      <c r="FA51" s="102">
        <v>3.5</v>
      </c>
      <c r="FB51" s="102">
        <v>17.100000000000001</v>
      </c>
      <c r="FC51" s="102">
        <v>6.2</v>
      </c>
      <c r="FD51" s="102">
        <v>16.3</v>
      </c>
      <c r="FE51" s="102">
        <v>4.7</v>
      </c>
      <c r="FF51" s="102">
        <v>15.6</v>
      </c>
      <c r="FG51" s="102">
        <v>3.7</v>
      </c>
      <c r="FH51" s="102">
        <v>21.5</v>
      </c>
      <c r="FI51" s="102">
        <v>5.7</v>
      </c>
      <c r="FJ51" s="102">
        <v>20.5</v>
      </c>
      <c r="FK51" s="102">
        <v>4.4000000000000004</v>
      </c>
      <c r="FL51" s="102">
        <v>19.3</v>
      </c>
      <c r="FM51" s="102">
        <v>3.4</v>
      </c>
    </row>
    <row r="52" spans="1:171" s="89" customFormat="1" x14ac:dyDescent="0.25">
      <c r="A52" s="89">
        <v>20</v>
      </c>
      <c r="B52" s="120">
        <v>7.3</v>
      </c>
      <c r="C52" s="120">
        <v>4.25</v>
      </c>
      <c r="D52" s="120">
        <v>10.15</v>
      </c>
      <c r="E52" s="120">
        <v>4.3099999999999996</v>
      </c>
      <c r="F52" s="120">
        <v>14.58</v>
      </c>
      <c r="G52" s="120">
        <v>4.17</v>
      </c>
      <c r="H52" s="120">
        <v>17.690000000000001</v>
      </c>
      <c r="I52" s="120">
        <v>4.32</v>
      </c>
      <c r="J52" s="120">
        <v>21.43</v>
      </c>
      <c r="K52" s="120">
        <v>4.1900000000000004</v>
      </c>
      <c r="L52" s="120">
        <v>7.11</v>
      </c>
      <c r="M52" s="120">
        <v>3.73</v>
      </c>
      <c r="N52" s="120">
        <v>9.81</v>
      </c>
      <c r="O52" s="120">
        <v>3.89</v>
      </c>
      <c r="P52" s="120">
        <v>14.31</v>
      </c>
      <c r="Q52" s="120">
        <v>3.62</v>
      </c>
      <c r="R52" s="120">
        <v>17.32</v>
      </c>
      <c r="S52" s="120">
        <v>3.65</v>
      </c>
      <c r="T52" s="120">
        <v>19.91</v>
      </c>
      <c r="U52" s="120">
        <v>3.54</v>
      </c>
      <c r="V52" s="120">
        <v>6.8</v>
      </c>
      <c r="W52" s="120">
        <v>2.95</v>
      </c>
      <c r="X52" s="120">
        <v>8.75</v>
      </c>
      <c r="Y52" s="120">
        <v>3.08</v>
      </c>
      <c r="Z52" s="120">
        <v>12.3</v>
      </c>
      <c r="AA52" s="120">
        <v>2.96</v>
      </c>
      <c r="AB52" s="120">
        <v>16.37</v>
      </c>
      <c r="AC52" s="120">
        <v>3.06</v>
      </c>
      <c r="AD52" s="120">
        <v>17.690000000000001</v>
      </c>
      <c r="AE52" s="120">
        <v>2.93</v>
      </c>
      <c r="AF52" s="125">
        <v>54.29</v>
      </c>
      <c r="AG52" s="125">
        <v>6.71</v>
      </c>
      <c r="AH52" s="125">
        <v>62.98</v>
      </c>
      <c r="AI52" s="125">
        <v>6.8</v>
      </c>
      <c r="AJ52" s="125">
        <v>81.44</v>
      </c>
      <c r="AK52" s="125">
        <v>6.68</v>
      </c>
      <c r="AL52" s="125">
        <v>50.03</v>
      </c>
      <c r="AM52" s="125">
        <v>5.16</v>
      </c>
      <c r="AN52" s="125">
        <v>58.04</v>
      </c>
      <c r="AO52" s="125">
        <v>5.25</v>
      </c>
      <c r="AP52" s="125">
        <v>75.05</v>
      </c>
      <c r="AQ52" s="125">
        <v>5.15</v>
      </c>
      <c r="AR52" s="125">
        <v>45.95</v>
      </c>
      <c r="AS52" s="125">
        <v>3.88</v>
      </c>
      <c r="AT52" s="125">
        <v>53.3</v>
      </c>
      <c r="AU52" s="125">
        <v>3.97</v>
      </c>
      <c r="AV52" s="125">
        <v>68.92</v>
      </c>
      <c r="AW52" s="125">
        <v>3.85</v>
      </c>
      <c r="AX52" s="122">
        <v>7.4</v>
      </c>
      <c r="AY52" s="122">
        <v>6.77</v>
      </c>
      <c r="AZ52" s="122">
        <v>9.56</v>
      </c>
      <c r="BA52" s="122">
        <v>5.89</v>
      </c>
      <c r="BB52" s="122">
        <v>12.66</v>
      </c>
      <c r="BC52" s="122">
        <v>5.33</v>
      </c>
      <c r="BD52" s="122">
        <v>19.53</v>
      </c>
      <c r="BE52" s="122">
        <v>5.95</v>
      </c>
      <c r="BF52" s="122">
        <v>7.48</v>
      </c>
      <c r="BG52" s="122">
        <v>5.19</v>
      </c>
      <c r="BH52" s="122">
        <v>9.35</v>
      </c>
      <c r="BI52" s="122">
        <v>4.7699999999999996</v>
      </c>
      <c r="BJ52" s="122">
        <v>12.32</v>
      </c>
      <c r="BK52" s="122">
        <v>4.34</v>
      </c>
      <c r="BL52" s="122">
        <v>18.46</v>
      </c>
      <c r="BM52" s="122">
        <v>4.87</v>
      </c>
      <c r="BN52" s="122">
        <v>7.49</v>
      </c>
      <c r="BO52" s="122">
        <v>4.12</v>
      </c>
      <c r="BP52" s="122">
        <v>8.7799999999999994</v>
      </c>
      <c r="BQ52" s="122">
        <v>3.85</v>
      </c>
      <c r="BR52" s="122">
        <v>11.7</v>
      </c>
      <c r="BS52" s="122">
        <v>3.56</v>
      </c>
      <c r="BT52" s="122">
        <v>17.54</v>
      </c>
      <c r="BU52" s="122">
        <v>4.01</v>
      </c>
      <c r="BV52" s="123">
        <v>22.9</v>
      </c>
      <c r="BW52" s="123">
        <f t="shared" si="405"/>
        <v>5.549999999999998</v>
      </c>
      <c r="BX52" s="123">
        <f t="shared" si="357"/>
        <v>23.1</v>
      </c>
      <c r="BY52" s="123">
        <f t="shared" si="357"/>
        <v>4.4499999999999984</v>
      </c>
      <c r="BZ52" s="123">
        <f t="shared" si="357"/>
        <v>23.3</v>
      </c>
      <c r="CA52" s="123">
        <f t="shared" si="357"/>
        <v>3.68</v>
      </c>
      <c r="CB52" s="123">
        <f t="shared" si="357"/>
        <v>28.9</v>
      </c>
      <c r="CC52" s="123">
        <f t="shared" si="357"/>
        <v>5.5799999999999983</v>
      </c>
      <c r="CD52" s="123">
        <f t="shared" si="357"/>
        <v>29.1</v>
      </c>
      <c r="CE52" s="123">
        <f t="shared" si="357"/>
        <v>4.4599999999999982</v>
      </c>
      <c r="CF52" s="123">
        <f t="shared" si="357"/>
        <v>29.3</v>
      </c>
      <c r="CG52" s="123">
        <f t="shared" si="357"/>
        <v>3.6100000000000003</v>
      </c>
      <c r="CH52" s="123">
        <f t="shared" si="357"/>
        <v>38.700000000000003</v>
      </c>
      <c r="CI52" s="123">
        <f t="shared" si="357"/>
        <v>5.1299999999999981</v>
      </c>
      <c r="CJ52" s="123">
        <f t="shared" si="357"/>
        <v>38.5</v>
      </c>
      <c r="CK52" s="123">
        <f t="shared" si="357"/>
        <v>4.4499999999999984</v>
      </c>
      <c r="CL52" s="123">
        <f t="shared" si="357"/>
        <v>38.799999999999997</v>
      </c>
      <c r="CM52" s="123">
        <f t="shared" si="357"/>
        <v>3.6</v>
      </c>
      <c r="CN52" s="123">
        <f t="shared" si="357"/>
        <v>47.5</v>
      </c>
      <c r="CO52" s="123">
        <f t="shared" si="357"/>
        <v>5.4399999999999986</v>
      </c>
      <c r="CP52" s="123">
        <f t="shared" si="358"/>
        <v>47</v>
      </c>
      <c r="CQ52" s="123">
        <f t="shared" si="359"/>
        <v>4.4299999999999988</v>
      </c>
      <c r="CR52" s="123">
        <f t="shared" si="360"/>
        <v>47.7</v>
      </c>
      <c r="CS52" s="123">
        <f t="shared" si="361"/>
        <v>3.7</v>
      </c>
      <c r="CT52" s="123">
        <f t="shared" si="362"/>
        <v>54.9</v>
      </c>
      <c r="CU52" s="123">
        <f t="shared" si="363"/>
        <v>5.4399999999999986</v>
      </c>
      <c r="CV52" s="123">
        <f t="shared" si="364"/>
        <v>56.2</v>
      </c>
      <c r="CW52" s="123">
        <f t="shared" si="365"/>
        <v>4.4299999999999988</v>
      </c>
      <c r="CX52" s="123">
        <f t="shared" si="366"/>
        <v>57.2</v>
      </c>
      <c r="CY52" s="123">
        <f t="shared" si="367"/>
        <v>3.7</v>
      </c>
      <c r="CZ52" s="123">
        <f t="shared" si="368"/>
        <v>64</v>
      </c>
      <c r="DA52" s="123">
        <f t="shared" si="369"/>
        <v>5.4899999999999984</v>
      </c>
      <c r="DB52" s="123">
        <f t="shared" si="370"/>
        <v>64.7</v>
      </c>
      <c r="DC52" s="123">
        <f t="shared" si="371"/>
        <v>4.4099999999999984</v>
      </c>
      <c r="DD52" s="123">
        <f t="shared" si="372"/>
        <v>64</v>
      </c>
      <c r="DE52" s="123">
        <f t="shared" si="373"/>
        <v>3.5</v>
      </c>
      <c r="DF52" s="123">
        <f t="shared" si="374"/>
        <v>72.8</v>
      </c>
      <c r="DG52" s="123">
        <f t="shared" si="375"/>
        <v>5.2499999999999982</v>
      </c>
      <c r="DH52" s="123">
        <f t="shared" si="376"/>
        <v>74.099999999999994</v>
      </c>
      <c r="DI52" s="123">
        <f t="shared" si="377"/>
        <v>4.2899999999999983</v>
      </c>
      <c r="DJ52" s="123">
        <f t="shared" si="378"/>
        <v>73.900000000000006</v>
      </c>
      <c r="DK52" s="123">
        <f t="shared" si="379"/>
        <v>3.58</v>
      </c>
      <c r="DL52" s="123">
        <f t="shared" si="380"/>
        <v>78.3</v>
      </c>
      <c r="DM52" s="123">
        <f t="shared" si="381"/>
        <v>5.299999999999998</v>
      </c>
      <c r="DN52" s="123">
        <f t="shared" si="382"/>
        <v>80.3</v>
      </c>
      <c r="DO52" s="123">
        <f t="shared" si="383"/>
        <v>4.3999999999999986</v>
      </c>
      <c r="DP52" s="123">
        <f t="shared" si="384"/>
        <v>81.099999999999994</v>
      </c>
      <c r="DQ52" s="123">
        <f t="shared" si="385"/>
        <v>3.7300000000000004</v>
      </c>
      <c r="DR52" s="124">
        <f t="shared" si="386"/>
        <v>44.6</v>
      </c>
      <c r="DS52" s="124">
        <f t="shared" si="387"/>
        <v>4.7399999999999984</v>
      </c>
      <c r="DT52" s="124">
        <f t="shared" si="388"/>
        <v>42.8</v>
      </c>
      <c r="DU52" s="124">
        <f t="shared" si="389"/>
        <v>3.74</v>
      </c>
      <c r="DV52" s="124">
        <f t="shared" si="390"/>
        <v>41</v>
      </c>
      <c r="DW52" s="124">
        <f t="shared" si="391"/>
        <v>3.14</v>
      </c>
      <c r="DX52" s="124">
        <f t="shared" si="392"/>
        <v>59.6</v>
      </c>
      <c r="DY52" s="124">
        <f t="shared" si="393"/>
        <v>5.0399999999999983</v>
      </c>
      <c r="DZ52" s="124">
        <f t="shared" si="394"/>
        <v>56.8</v>
      </c>
      <c r="EA52" s="124">
        <f t="shared" si="395"/>
        <v>4.04</v>
      </c>
      <c r="EB52" s="124">
        <f t="shared" si="396"/>
        <v>54</v>
      </c>
      <c r="EC52" s="124">
        <f t="shared" si="397"/>
        <v>3.14</v>
      </c>
      <c r="ED52" s="124">
        <f t="shared" si="398"/>
        <v>86.7</v>
      </c>
      <c r="EE52" s="124">
        <f t="shared" si="399"/>
        <v>5.0399999999999983</v>
      </c>
      <c r="EF52" s="124">
        <f t="shared" si="400"/>
        <v>83.35</v>
      </c>
      <c r="EG52" s="124">
        <f t="shared" si="401"/>
        <v>3.9400000000000004</v>
      </c>
      <c r="EH52" s="124">
        <f t="shared" si="402"/>
        <v>80</v>
      </c>
      <c r="EI52" s="124">
        <f t="shared" si="403"/>
        <v>3.14</v>
      </c>
      <c r="EJ52" s="102">
        <f t="shared" si="349"/>
        <v>6.9647058823529582</v>
      </c>
      <c r="EK52" s="102">
        <f t="shared" si="350"/>
        <v>5.3058823529411843</v>
      </c>
      <c r="EL52" s="102">
        <f t="shared" si="351"/>
        <v>6.6647058823529584</v>
      </c>
      <c r="EM52" s="102">
        <f t="shared" si="352"/>
        <v>4.0470588235294205</v>
      </c>
      <c r="EN52" s="102">
        <f t="shared" si="353"/>
        <v>6.2058823529411891</v>
      </c>
      <c r="EO52" s="102">
        <f t="shared" si="354"/>
        <v>3.2176470588235357</v>
      </c>
      <c r="EP52" s="102">
        <v>9.6999999999999993</v>
      </c>
      <c r="EQ52" s="102">
        <v>5.9</v>
      </c>
      <c r="ER52" s="102">
        <v>9.4</v>
      </c>
      <c r="ES52" s="102">
        <v>4.5</v>
      </c>
      <c r="ET52" s="102">
        <v>8.9</v>
      </c>
      <c r="EU52" s="102">
        <v>3.4</v>
      </c>
      <c r="EV52" s="102">
        <v>13.6</v>
      </c>
      <c r="EW52" s="102">
        <v>6.2</v>
      </c>
      <c r="EX52" s="102">
        <v>12.9</v>
      </c>
      <c r="EY52" s="102">
        <v>4.5999999999999996</v>
      </c>
      <c r="EZ52" s="102">
        <v>12</v>
      </c>
      <c r="FA52" s="102">
        <v>3.5</v>
      </c>
      <c r="FB52" s="102">
        <v>17.100000000000001</v>
      </c>
      <c r="FC52" s="102">
        <v>6.2</v>
      </c>
      <c r="FD52" s="102">
        <v>16.3</v>
      </c>
      <c r="FE52" s="102">
        <v>4.7</v>
      </c>
      <c r="FF52" s="102">
        <v>15.6</v>
      </c>
      <c r="FG52" s="102">
        <v>3.7</v>
      </c>
      <c r="FH52" s="102">
        <v>21.5</v>
      </c>
      <c r="FI52" s="102">
        <v>5.7</v>
      </c>
      <c r="FJ52" s="102">
        <v>20.5</v>
      </c>
      <c r="FK52" s="102">
        <v>4.4000000000000004</v>
      </c>
      <c r="FL52" s="102">
        <v>19.3</v>
      </c>
      <c r="FM52" s="102">
        <v>3.4</v>
      </c>
    </row>
    <row r="53" spans="1:171" x14ac:dyDescent="0.25"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P53"/>
      <c r="CQ53"/>
      <c r="CV53"/>
      <c r="CW53"/>
      <c r="DJ53"/>
      <c r="DK53"/>
      <c r="DL53"/>
      <c r="DM53"/>
      <c r="DY53"/>
      <c r="DZ53"/>
      <c r="EA53"/>
    </row>
    <row r="54" spans="1:171" x14ac:dyDescent="0.25"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P54"/>
      <c r="CQ54"/>
      <c r="CV54"/>
      <c r="CW54"/>
      <c r="DJ54"/>
      <c r="DK54"/>
      <c r="DL54"/>
      <c r="DM54"/>
      <c r="DY54"/>
      <c r="DZ54"/>
      <c r="EA54"/>
      <c r="EI54" s="91" t="s">
        <v>532</v>
      </c>
      <c r="EJ54" s="91"/>
      <c r="EK54" s="91"/>
      <c r="EL54" s="91"/>
      <c r="EM54" s="91"/>
      <c r="EN54" s="91"/>
      <c r="EO54" s="91"/>
      <c r="EP54" s="91"/>
    </row>
    <row r="55" spans="1:171" x14ac:dyDescent="0.25">
      <c r="BK55" s="69"/>
      <c r="BL55" s="69"/>
      <c r="BM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V55"/>
      <c r="CW55"/>
      <c r="DJ55"/>
      <c r="DK55"/>
      <c r="DY55"/>
      <c r="DZ55"/>
      <c r="EA55"/>
      <c r="EI55" s="91" t="s">
        <v>533</v>
      </c>
      <c r="EJ55" s="91"/>
      <c r="EK55" s="91"/>
      <c r="EL55" s="91"/>
      <c r="EM55" s="91"/>
      <c r="EN55" s="91"/>
      <c r="EO55" s="91"/>
      <c r="EP55" s="91"/>
      <c r="FO55" s="89"/>
    </row>
    <row r="56" spans="1:171" x14ac:dyDescent="0.25">
      <c r="BK56" s="69"/>
      <c r="BL56" s="69"/>
      <c r="BM56" s="69"/>
      <c r="CK56"/>
      <c r="CL56"/>
      <c r="CM56"/>
      <c r="CN56"/>
      <c r="CO56"/>
      <c r="CV56"/>
      <c r="CW56"/>
      <c r="CX56"/>
      <c r="CY56"/>
      <c r="DJ56"/>
      <c r="DK56"/>
      <c r="DY56"/>
      <c r="EI56" s="91" t="s">
        <v>534</v>
      </c>
      <c r="EJ56" s="91"/>
      <c r="EK56" s="91"/>
      <c r="EL56" s="91"/>
      <c r="EM56" s="91"/>
      <c r="EN56" s="91"/>
      <c r="EO56" s="91"/>
      <c r="EP56" s="91"/>
      <c r="FO56" s="89"/>
    </row>
    <row r="57" spans="1:171" x14ac:dyDescent="0.25">
      <c r="CK57"/>
      <c r="CL57"/>
      <c r="CM57"/>
      <c r="CN57"/>
      <c r="CO57"/>
      <c r="CV57"/>
      <c r="CW57"/>
      <c r="CX57"/>
      <c r="CY57"/>
      <c r="DJ57"/>
      <c r="DK57"/>
      <c r="DY57"/>
      <c r="DZ57"/>
      <c r="EA57"/>
      <c r="EB57"/>
      <c r="EC57"/>
      <c r="FO57" s="89"/>
    </row>
    <row r="58" spans="1:171" x14ac:dyDescent="0.25">
      <c r="CK58"/>
      <c r="CL58"/>
      <c r="CM58"/>
      <c r="CV58"/>
      <c r="CW58"/>
      <c r="CX58"/>
      <c r="CY58"/>
      <c r="DJ58"/>
      <c r="DK58"/>
      <c r="DY58"/>
      <c r="DZ58"/>
      <c r="EA58"/>
      <c r="FO58" s="89"/>
    </row>
    <row r="59" spans="1:171" x14ac:dyDescent="0.25">
      <c r="CK59"/>
      <c r="CL59"/>
      <c r="CM59"/>
      <c r="CV59"/>
      <c r="CW59"/>
      <c r="DJ59"/>
      <c r="DK59"/>
      <c r="DY59"/>
      <c r="DZ59"/>
      <c r="EA59"/>
      <c r="FO59" s="89"/>
    </row>
    <row r="60" spans="1:171" x14ac:dyDescent="0.25">
      <c r="CK60"/>
      <c r="CL60"/>
      <c r="CM60"/>
      <c r="CV60"/>
      <c r="CW60"/>
      <c r="DJ60"/>
      <c r="DK60"/>
      <c r="DL60"/>
      <c r="DM60"/>
      <c r="DY60"/>
      <c r="DZ60"/>
      <c r="EA60"/>
      <c r="FO60" s="89"/>
    </row>
    <row r="61" spans="1:171" x14ac:dyDescent="0.25">
      <c r="CK61"/>
      <c r="CL61"/>
      <c r="CM61"/>
      <c r="CV61"/>
      <c r="CW61"/>
      <c r="DY61"/>
      <c r="DZ61"/>
      <c r="EA61"/>
      <c r="EI61" s="89"/>
      <c r="EJ61" s="88" t="s">
        <v>524</v>
      </c>
      <c r="EK61" s="88" t="s">
        <v>524</v>
      </c>
      <c r="EL61" s="88" t="s">
        <v>524</v>
      </c>
      <c r="EM61" s="88" t="s">
        <v>524</v>
      </c>
      <c r="EN61" s="88" t="s">
        <v>524</v>
      </c>
      <c r="EO61" s="88" t="s">
        <v>524</v>
      </c>
      <c r="EP61" s="89" t="s">
        <v>525</v>
      </c>
      <c r="EQ61" s="89" t="s">
        <v>525</v>
      </c>
      <c r="ER61" s="89" t="s">
        <v>525</v>
      </c>
      <c r="ES61" s="89" t="s">
        <v>525</v>
      </c>
      <c r="ET61" s="89" t="s">
        <v>525</v>
      </c>
      <c r="EU61" s="89" t="s">
        <v>525</v>
      </c>
      <c r="EV61" s="89" t="s">
        <v>526</v>
      </c>
      <c r="EW61" s="89" t="s">
        <v>526</v>
      </c>
      <c r="EX61" s="89" t="s">
        <v>526</v>
      </c>
      <c r="EY61" s="89" t="s">
        <v>526</v>
      </c>
      <c r="EZ61" s="89" t="s">
        <v>526</v>
      </c>
      <c r="FA61" s="89" t="s">
        <v>526</v>
      </c>
      <c r="FB61" s="89" t="s">
        <v>527</v>
      </c>
      <c r="FC61" s="89" t="s">
        <v>527</v>
      </c>
      <c r="FD61" s="89" t="s">
        <v>527</v>
      </c>
      <c r="FE61" s="89" t="s">
        <v>527</v>
      </c>
      <c r="FF61" s="89" t="s">
        <v>527</v>
      </c>
      <c r="FG61" s="89" t="s">
        <v>527</v>
      </c>
      <c r="FH61" s="89" t="s">
        <v>528</v>
      </c>
      <c r="FI61" s="89" t="s">
        <v>528</v>
      </c>
      <c r="FJ61" s="89" t="s">
        <v>528</v>
      </c>
      <c r="FK61" s="89" t="s">
        <v>528</v>
      </c>
      <c r="FL61" s="89" t="s">
        <v>528</v>
      </c>
      <c r="FM61" s="89" t="s">
        <v>528</v>
      </c>
      <c r="FO61" s="89"/>
    </row>
    <row r="62" spans="1:171" x14ac:dyDescent="0.25">
      <c r="CK62"/>
      <c r="CL62"/>
      <c r="CM62"/>
      <c r="CV62"/>
      <c r="CW62"/>
      <c r="EI62" s="89"/>
      <c r="EJ62" s="90" t="s">
        <v>424</v>
      </c>
      <c r="EK62" s="90" t="s">
        <v>279</v>
      </c>
      <c r="EL62" s="90" t="s">
        <v>424</v>
      </c>
      <c r="EM62" s="90" t="s">
        <v>279</v>
      </c>
      <c r="EN62" s="90" t="s">
        <v>424</v>
      </c>
      <c r="EO62" s="90" t="s">
        <v>279</v>
      </c>
      <c r="EP62" s="90" t="s">
        <v>424</v>
      </c>
      <c r="EQ62" s="90" t="s">
        <v>279</v>
      </c>
      <c r="ER62" s="90" t="s">
        <v>424</v>
      </c>
      <c r="ES62" s="90" t="s">
        <v>279</v>
      </c>
      <c r="ET62" s="90" t="s">
        <v>424</v>
      </c>
      <c r="EU62" s="90" t="s">
        <v>279</v>
      </c>
      <c r="EV62" s="90" t="s">
        <v>424</v>
      </c>
      <c r="EW62" s="90" t="s">
        <v>279</v>
      </c>
      <c r="EX62" s="90" t="s">
        <v>424</v>
      </c>
      <c r="EY62" s="90" t="s">
        <v>279</v>
      </c>
      <c r="EZ62" s="90" t="s">
        <v>424</v>
      </c>
      <c r="FA62" s="90" t="s">
        <v>279</v>
      </c>
      <c r="FB62" s="90" t="s">
        <v>424</v>
      </c>
      <c r="FC62" s="90" t="s">
        <v>279</v>
      </c>
      <c r="FD62" s="90" t="s">
        <v>424</v>
      </c>
      <c r="FE62" s="90" t="s">
        <v>279</v>
      </c>
      <c r="FF62" s="90" t="s">
        <v>424</v>
      </c>
      <c r="FG62" s="90" t="s">
        <v>279</v>
      </c>
      <c r="FH62" s="90" t="s">
        <v>424</v>
      </c>
      <c r="FI62" s="90" t="s">
        <v>279</v>
      </c>
      <c r="FJ62" s="90" t="s">
        <v>424</v>
      </c>
      <c r="FK62" s="90" t="s">
        <v>279</v>
      </c>
      <c r="FL62" s="90" t="s">
        <v>424</v>
      </c>
      <c r="FM62" s="90" t="s">
        <v>279</v>
      </c>
      <c r="FN62" s="89"/>
      <c r="FO62" s="89"/>
    </row>
    <row r="63" spans="1:171" x14ac:dyDescent="0.25">
      <c r="CK63"/>
      <c r="CL63"/>
      <c r="CM63"/>
      <c r="CN63"/>
      <c r="CO63"/>
      <c r="CV63"/>
      <c r="CW63"/>
      <c r="EI63" s="89"/>
      <c r="EJ63" s="87" t="s">
        <v>145</v>
      </c>
      <c r="EK63" s="87"/>
      <c r="EL63" s="89" t="s">
        <v>45</v>
      </c>
      <c r="EM63" s="89"/>
      <c r="EN63" s="89" t="s">
        <v>153</v>
      </c>
      <c r="EO63" s="89"/>
      <c r="EP63" s="87" t="s">
        <v>145</v>
      </c>
      <c r="EQ63" s="87"/>
      <c r="ER63" s="89" t="s">
        <v>45</v>
      </c>
      <c r="ES63" s="89"/>
      <c r="ET63" s="89" t="s">
        <v>153</v>
      </c>
      <c r="EU63" s="89"/>
      <c r="EV63" s="87" t="s">
        <v>145</v>
      </c>
      <c r="EW63" s="87"/>
      <c r="EX63" s="89" t="s">
        <v>45</v>
      </c>
      <c r="EY63" s="89"/>
      <c r="EZ63" s="89" t="s">
        <v>153</v>
      </c>
      <c r="FA63" s="89"/>
      <c r="FB63" s="87" t="s">
        <v>145</v>
      </c>
      <c r="FC63" s="87"/>
      <c r="FD63" s="89" t="s">
        <v>45</v>
      </c>
      <c r="FE63" s="89"/>
      <c r="FF63" s="89" t="s">
        <v>153</v>
      </c>
      <c r="FG63" s="89"/>
      <c r="FH63" s="87" t="s">
        <v>145</v>
      </c>
      <c r="FI63" s="87"/>
      <c r="FJ63" s="89" t="s">
        <v>45</v>
      </c>
      <c r="FK63" s="89"/>
      <c r="FL63" s="89" t="s">
        <v>153</v>
      </c>
      <c r="FM63" s="89"/>
      <c r="FN63" s="89"/>
      <c r="FO63" s="89"/>
    </row>
    <row r="64" spans="1:171" x14ac:dyDescent="0.25">
      <c r="CK64"/>
      <c r="CV64"/>
      <c r="CW64"/>
      <c r="CX64"/>
      <c r="CY64"/>
      <c r="EI64" s="89" t="s">
        <v>529</v>
      </c>
      <c r="EJ64" s="89">
        <v>5.8</v>
      </c>
      <c r="EK64" s="89">
        <v>4.4000000000000004</v>
      </c>
      <c r="EL64" s="89">
        <v>5.5</v>
      </c>
      <c r="EM64" s="89">
        <v>3.4</v>
      </c>
      <c r="EN64" s="89">
        <v>5.3</v>
      </c>
      <c r="EO64" s="89">
        <v>2.7</v>
      </c>
      <c r="EP64" s="89">
        <v>7.6</v>
      </c>
      <c r="EQ64" s="89">
        <v>4.7</v>
      </c>
      <c r="ER64" s="89">
        <v>7.3</v>
      </c>
      <c r="ES64" s="89">
        <v>3.6</v>
      </c>
      <c r="ET64" s="89">
        <v>6.9</v>
      </c>
      <c r="EU64" s="89">
        <v>2.8</v>
      </c>
      <c r="EV64" s="89">
        <v>10.4</v>
      </c>
      <c r="EW64" s="89">
        <v>4.8</v>
      </c>
      <c r="EX64" s="89">
        <v>10</v>
      </c>
      <c r="EY64" s="89">
        <v>3.8</v>
      </c>
      <c r="EZ64" s="89">
        <v>9.4</v>
      </c>
      <c r="FA64" s="89">
        <v>2.8</v>
      </c>
      <c r="FB64" s="89">
        <v>13.3</v>
      </c>
      <c r="FC64" s="89">
        <v>4.8</v>
      </c>
      <c r="FD64" s="89">
        <v>12.8</v>
      </c>
      <c r="FE64" s="89">
        <v>3.8</v>
      </c>
      <c r="FF64" s="89">
        <v>12.1</v>
      </c>
      <c r="FG64" s="89">
        <v>2.9</v>
      </c>
      <c r="FH64" s="89">
        <v>17</v>
      </c>
      <c r="FI64" s="89">
        <v>4.7</v>
      </c>
      <c r="FJ64" s="89">
        <v>16.100000000000001</v>
      </c>
      <c r="FK64" s="89">
        <v>3.6</v>
      </c>
      <c r="FL64" s="89">
        <v>15.2</v>
      </c>
      <c r="FM64" s="89">
        <v>2.8</v>
      </c>
      <c r="FN64" s="89"/>
      <c r="FO64" s="89"/>
    </row>
    <row r="65" spans="63:169" x14ac:dyDescent="0.25">
      <c r="CK65"/>
      <c r="CV65"/>
      <c r="CW65"/>
      <c r="CX65"/>
      <c r="CY65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</row>
    <row r="66" spans="63:169" x14ac:dyDescent="0.25">
      <c r="BK66" s="69"/>
      <c r="BL66" s="69"/>
      <c r="BM66" s="69"/>
      <c r="CK66"/>
      <c r="CV66"/>
      <c r="CW66"/>
      <c r="CX66"/>
      <c r="CY66"/>
      <c r="EI66" s="89" t="s">
        <v>530</v>
      </c>
      <c r="EJ66" s="89">
        <v>6.7</v>
      </c>
      <c r="EK66" s="89">
        <v>5.0999999999999996</v>
      </c>
      <c r="EL66" s="89">
        <v>6.4</v>
      </c>
      <c r="EM66" s="89">
        <v>3.9</v>
      </c>
      <c r="EN66" s="89">
        <v>6</v>
      </c>
      <c r="EO66" s="89">
        <v>3.1</v>
      </c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</row>
    <row r="67" spans="63:169" x14ac:dyDescent="0.25">
      <c r="CK67"/>
      <c r="CV67"/>
      <c r="CW67"/>
      <c r="EI67" s="89" t="s">
        <v>531</v>
      </c>
      <c r="EJ67" s="89"/>
      <c r="EK67" s="89"/>
      <c r="EL67" s="89"/>
      <c r="EM67" s="89"/>
      <c r="EN67" s="89"/>
      <c r="EO67" s="89"/>
      <c r="EP67" s="89">
        <v>9.6999999999999993</v>
      </c>
      <c r="EQ67" s="89">
        <v>5.9</v>
      </c>
      <c r="ER67" s="89">
        <v>9.4</v>
      </c>
      <c r="ES67" s="89">
        <v>4.5</v>
      </c>
      <c r="ET67" s="89">
        <v>8.9</v>
      </c>
      <c r="EU67" s="89">
        <v>3.4</v>
      </c>
      <c r="EV67" s="89">
        <v>13.6</v>
      </c>
      <c r="EW67" s="89">
        <v>6.2</v>
      </c>
      <c r="EX67" s="89">
        <v>12.9</v>
      </c>
      <c r="EY67" s="89">
        <v>4.5999999999999996</v>
      </c>
      <c r="EZ67" s="89">
        <v>12</v>
      </c>
      <c r="FA67" s="89">
        <v>3.5</v>
      </c>
      <c r="FB67" s="89">
        <v>17.100000000000001</v>
      </c>
      <c r="FC67" s="89">
        <v>6.2</v>
      </c>
      <c r="FD67" s="89">
        <v>16.3</v>
      </c>
      <c r="FE67" s="89">
        <v>4.7</v>
      </c>
      <c r="FF67" s="89">
        <v>15.6</v>
      </c>
      <c r="FG67" s="89">
        <v>3.7</v>
      </c>
      <c r="FH67" s="89">
        <v>21.5</v>
      </c>
      <c r="FI67" s="89">
        <v>5.7</v>
      </c>
      <c r="FJ67" s="89">
        <v>20.5</v>
      </c>
      <c r="FK67" s="89">
        <v>4.4000000000000004</v>
      </c>
      <c r="FL67" s="89">
        <v>19.3</v>
      </c>
      <c r="FM67" s="89">
        <v>3.4</v>
      </c>
    </row>
    <row r="68" spans="63:169" x14ac:dyDescent="0.25">
      <c r="CK68"/>
      <c r="CV68"/>
      <c r="CW68"/>
    </row>
    <row r="69" spans="63:169" x14ac:dyDescent="0.25">
      <c r="CK69"/>
      <c r="CV69"/>
      <c r="CW69"/>
    </row>
    <row r="70" spans="63:169" x14ac:dyDescent="0.25">
      <c r="CK70"/>
      <c r="CV70"/>
      <c r="CW70"/>
    </row>
    <row r="71" spans="63:169" x14ac:dyDescent="0.25">
      <c r="CK71"/>
      <c r="CV71"/>
      <c r="CW71"/>
    </row>
    <row r="72" spans="63:169" x14ac:dyDescent="0.25">
      <c r="CK72"/>
    </row>
    <row r="73" spans="63:169" x14ac:dyDescent="0.25">
      <c r="CK73"/>
    </row>
    <row r="74" spans="63:169" x14ac:dyDescent="0.25">
      <c r="CK74"/>
    </row>
    <row r="75" spans="63:169" x14ac:dyDescent="0.25">
      <c r="CK75"/>
    </row>
    <row r="76" spans="63:169" x14ac:dyDescent="0.25">
      <c r="BK76" s="69"/>
      <c r="BL76" s="69"/>
      <c r="BM76" s="69"/>
      <c r="CK76"/>
    </row>
    <row r="77" spans="63:169" x14ac:dyDescent="0.25">
      <c r="CK77"/>
    </row>
    <row r="78" spans="63:169" x14ac:dyDescent="0.25">
      <c r="CK78"/>
    </row>
    <row r="79" spans="63:169" x14ac:dyDescent="0.25">
      <c r="CK79"/>
    </row>
    <row r="80" spans="63:169" x14ac:dyDescent="0.25">
      <c r="CK80"/>
    </row>
    <row r="81" spans="89:89" x14ac:dyDescent="0.25">
      <c r="CK81"/>
    </row>
    <row r="82" spans="89:89" x14ac:dyDescent="0.25">
      <c r="CK82"/>
    </row>
    <row r="83" spans="89:89" x14ac:dyDescent="0.25">
      <c r="CK83"/>
    </row>
    <row r="84" spans="89:89" x14ac:dyDescent="0.25">
      <c r="CK84"/>
    </row>
    <row r="85" spans="89:89" x14ac:dyDescent="0.25">
      <c r="CK85"/>
    </row>
    <row r="86" spans="89:89" x14ac:dyDescent="0.25">
      <c r="CK86"/>
    </row>
    <row r="87" spans="89:89" x14ac:dyDescent="0.25">
      <c r="CK87"/>
    </row>
    <row r="88" spans="89:89" x14ac:dyDescent="0.25">
      <c r="CK88"/>
    </row>
    <row r="89" spans="89:89" x14ac:dyDescent="0.25">
      <c r="CK89"/>
    </row>
    <row r="90" spans="89:89" x14ac:dyDescent="0.25">
      <c r="CK90"/>
    </row>
    <row r="91" spans="89:89" x14ac:dyDescent="0.25">
      <c r="CK91"/>
    </row>
    <row r="92" spans="89:89" x14ac:dyDescent="0.25">
      <c r="CK92"/>
    </row>
    <row r="93" spans="89:89" x14ac:dyDescent="0.25">
      <c r="CK93"/>
    </row>
    <row r="94" spans="89:89" x14ac:dyDescent="0.25">
      <c r="CK94"/>
    </row>
    <row r="95" spans="89:89" x14ac:dyDescent="0.25">
      <c r="CK95"/>
    </row>
    <row r="96" spans="89:89" x14ac:dyDescent="0.25">
      <c r="CK96"/>
    </row>
    <row r="97" spans="89:91" x14ac:dyDescent="0.25">
      <c r="CK97"/>
    </row>
    <row r="98" spans="89:91" x14ac:dyDescent="0.25">
      <c r="CK98"/>
    </row>
    <row r="99" spans="89:91" x14ac:dyDescent="0.25">
      <c r="CK99"/>
    </row>
    <row r="100" spans="89:91" x14ac:dyDescent="0.25">
      <c r="CK100"/>
    </row>
    <row r="101" spans="89:91" x14ac:dyDescent="0.25">
      <c r="CK101"/>
    </row>
    <row r="102" spans="89:91" x14ac:dyDescent="0.25">
      <c r="CK102"/>
    </row>
    <row r="103" spans="89:91" x14ac:dyDescent="0.25">
      <c r="CK103"/>
    </row>
    <row r="104" spans="89:91" x14ac:dyDescent="0.25">
      <c r="CK104"/>
      <c r="CL104"/>
      <c r="CM104"/>
    </row>
    <row r="105" spans="89:91" x14ac:dyDescent="0.25">
      <c r="CK105"/>
    </row>
    <row r="106" spans="89:91" x14ac:dyDescent="0.25">
      <c r="CK106"/>
    </row>
    <row r="107" spans="89:91" x14ac:dyDescent="0.25">
      <c r="CK107"/>
    </row>
    <row r="108" spans="89:91" x14ac:dyDescent="0.25">
      <c r="CK108"/>
    </row>
    <row r="109" spans="89:91" x14ac:dyDescent="0.25">
      <c r="CK109"/>
    </row>
    <row r="110" spans="89:91" x14ac:dyDescent="0.25">
      <c r="CK110"/>
    </row>
    <row r="111" spans="89:91" x14ac:dyDescent="0.25">
      <c r="CK111"/>
    </row>
    <row r="112" spans="89:91" x14ac:dyDescent="0.25">
      <c r="CK112"/>
    </row>
    <row r="113" spans="89:91" x14ac:dyDescent="0.25">
      <c r="CK113"/>
    </row>
    <row r="114" spans="89:91" x14ac:dyDescent="0.25">
      <c r="CK114"/>
    </row>
    <row r="115" spans="89:91" x14ac:dyDescent="0.25">
      <c r="CK115"/>
    </row>
    <row r="116" spans="89:91" x14ac:dyDescent="0.25">
      <c r="CK116"/>
    </row>
    <row r="117" spans="89:91" x14ac:dyDescent="0.25">
      <c r="CK117"/>
    </row>
    <row r="118" spans="89:91" x14ac:dyDescent="0.25">
      <c r="CK118"/>
    </row>
    <row r="119" spans="89:91" x14ac:dyDescent="0.25">
      <c r="CK119"/>
    </row>
    <row r="120" spans="89:91" x14ac:dyDescent="0.25">
      <c r="CK120"/>
    </row>
    <row r="121" spans="89:91" x14ac:dyDescent="0.25">
      <c r="CK121"/>
      <c r="CL121"/>
      <c r="CM121"/>
    </row>
    <row r="122" spans="89:91" x14ac:dyDescent="0.25">
      <c r="CK122"/>
      <c r="CL122"/>
      <c r="CM122"/>
    </row>
    <row r="123" spans="89:91" x14ac:dyDescent="0.25">
      <c r="CK123"/>
      <c r="CL123"/>
      <c r="CM123"/>
    </row>
    <row r="144" spans="89:89" x14ac:dyDescent="0.25">
      <c r="CK144"/>
    </row>
    <row r="145" spans="89:89" x14ac:dyDescent="0.25">
      <c r="CK145"/>
    </row>
    <row r="146" spans="89:89" x14ac:dyDescent="0.25">
      <c r="CK146"/>
    </row>
    <row r="147" spans="89:89" x14ac:dyDescent="0.25">
      <c r="CK147"/>
    </row>
    <row r="148" spans="89:89" x14ac:dyDescent="0.25">
      <c r="CK148"/>
    </row>
    <row r="149" spans="89:89" x14ac:dyDescent="0.25">
      <c r="CK149"/>
    </row>
    <row r="150" spans="89:89" x14ac:dyDescent="0.25">
      <c r="CK150"/>
    </row>
    <row r="151" spans="89:89" x14ac:dyDescent="0.25">
      <c r="CK151"/>
    </row>
    <row r="152" spans="89:89" x14ac:dyDescent="0.25">
      <c r="CK152"/>
    </row>
    <row r="153" spans="89:89" x14ac:dyDescent="0.25">
      <c r="CK153"/>
    </row>
    <row r="154" spans="89:89" x14ac:dyDescent="0.25">
      <c r="CK154"/>
    </row>
    <row r="155" spans="89:89" x14ac:dyDescent="0.25">
      <c r="CK155"/>
    </row>
    <row r="156" spans="89:89" x14ac:dyDescent="0.25">
      <c r="CK156"/>
    </row>
    <row r="157" spans="89:89" x14ac:dyDescent="0.25">
      <c r="CK157"/>
    </row>
    <row r="158" spans="89:89" x14ac:dyDescent="0.25">
      <c r="CK158"/>
    </row>
    <row r="159" spans="89:89" x14ac:dyDescent="0.25">
      <c r="CK159"/>
    </row>
    <row r="160" spans="89:89" x14ac:dyDescent="0.25">
      <c r="CK160"/>
    </row>
    <row r="161" spans="89:89" x14ac:dyDescent="0.25">
      <c r="CK161"/>
    </row>
    <row r="162" spans="89:89" x14ac:dyDescent="0.25">
      <c r="CK162"/>
    </row>
    <row r="163" spans="89:89" x14ac:dyDescent="0.25">
      <c r="CK163"/>
    </row>
    <row r="164" spans="89:89" x14ac:dyDescent="0.25">
      <c r="CK164"/>
    </row>
    <row r="165" spans="89:89" x14ac:dyDescent="0.25">
      <c r="CK165"/>
    </row>
    <row r="166" spans="89:89" x14ac:dyDescent="0.25">
      <c r="CK166"/>
    </row>
    <row r="167" spans="89:89" x14ac:dyDescent="0.25">
      <c r="CK167"/>
    </row>
    <row r="168" spans="89:89" x14ac:dyDescent="0.25">
      <c r="CK168"/>
    </row>
    <row r="169" spans="89:89" x14ac:dyDescent="0.25">
      <c r="CK169"/>
    </row>
    <row r="170" spans="89:89" x14ac:dyDescent="0.25">
      <c r="CK170"/>
    </row>
    <row r="171" spans="89:89" x14ac:dyDescent="0.25">
      <c r="CK171"/>
    </row>
    <row r="172" spans="89:89" x14ac:dyDescent="0.25">
      <c r="CK172"/>
    </row>
    <row r="173" spans="89:89" x14ac:dyDescent="0.25">
      <c r="CK173"/>
    </row>
    <row r="174" spans="89:89" x14ac:dyDescent="0.25">
      <c r="CK174"/>
    </row>
    <row r="175" spans="89:89" x14ac:dyDescent="0.25">
      <c r="CK175"/>
    </row>
    <row r="176" spans="89:89" x14ac:dyDescent="0.25">
      <c r="CK176"/>
    </row>
    <row r="177" spans="89:91" x14ac:dyDescent="0.25">
      <c r="CK177"/>
    </row>
    <row r="178" spans="89:91" x14ac:dyDescent="0.25">
      <c r="CK178"/>
    </row>
    <row r="179" spans="89:91" x14ac:dyDescent="0.25">
      <c r="CK179"/>
    </row>
    <row r="180" spans="89:91" x14ac:dyDescent="0.25">
      <c r="CK180"/>
    </row>
    <row r="181" spans="89:91" x14ac:dyDescent="0.25">
      <c r="CK181"/>
    </row>
    <row r="182" spans="89:91" x14ac:dyDescent="0.25">
      <c r="CK182"/>
    </row>
    <row r="183" spans="89:91" x14ac:dyDescent="0.25">
      <c r="CK183"/>
    </row>
    <row r="184" spans="89:91" x14ac:dyDescent="0.25">
      <c r="CK184"/>
    </row>
    <row r="185" spans="89:91" x14ac:dyDescent="0.25">
      <c r="CK185"/>
    </row>
    <row r="186" spans="89:91" x14ac:dyDescent="0.25">
      <c r="CK186"/>
    </row>
    <row r="187" spans="89:91" x14ac:dyDescent="0.25">
      <c r="CK187"/>
    </row>
    <row r="188" spans="89:91" x14ac:dyDescent="0.25">
      <c r="CK188"/>
    </row>
    <row r="189" spans="89:91" x14ac:dyDescent="0.25">
      <c r="CK189"/>
    </row>
    <row r="190" spans="89:91" x14ac:dyDescent="0.25">
      <c r="CK190"/>
    </row>
    <row r="191" spans="89:91" x14ac:dyDescent="0.25">
      <c r="CK191"/>
      <c r="CL191"/>
      <c r="CM191"/>
    </row>
    <row r="192" spans="89:91" x14ac:dyDescent="0.25">
      <c r="CK192"/>
      <c r="CL192"/>
      <c r="CM192"/>
    </row>
    <row r="193" spans="89:93" x14ac:dyDescent="0.25">
      <c r="CK193"/>
      <c r="CL193"/>
      <c r="CM193"/>
    </row>
    <row r="194" spans="89:93" x14ac:dyDescent="0.25">
      <c r="CK194"/>
      <c r="CL194"/>
      <c r="CM194"/>
    </row>
    <row r="195" spans="89:93" x14ac:dyDescent="0.25">
      <c r="CK195"/>
      <c r="CL195"/>
      <c r="CM195"/>
      <c r="CN195"/>
      <c r="CO195"/>
    </row>
    <row r="196" spans="89:93" x14ac:dyDescent="0.25">
      <c r="CK196"/>
    </row>
    <row r="197" spans="89:93" x14ac:dyDescent="0.25">
      <c r="CK197"/>
    </row>
    <row r="198" spans="89:93" x14ac:dyDescent="0.25">
      <c r="CK198"/>
    </row>
    <row r="199" spans="89:93" x14ac:dyDescent="0.25">
      <c r="CK199"/>
    </row>
    <row r="200" spans="89:93" x14ac:dyDescent="0.25">
      <c r="CK200"/>
    </row>
    <row r="201" spans="89:93" x14ac:dyDescent="0.25">
      <c r="CK201"/>
    </row>
    <row r="202" spans="89:93" x14ac:dyDescent="0.25">
      <c r="CK202"/>
    </row>
    <row r="203" spans="89:93" x14ac:dyDescent="0.25">
      <c r="CK203"/>
    </row>
    <row r="204" spans="89:93" x14ac:dyDescent="0.25">
      <c r="CK204"/>
    </row>
    <row r="205" spans="89:93" x14ac:dyDescent="0.25">
      <c r="CK205"/>
    </row>
    <row r="206" spans="89:93" x14ac:dyDescent="0.25">
      <c r="CK206"/>
    </row>
    <row r="207" spans="89:93" x14ac:dyDescent="0.25">
      <c r="CK207"/>
    </row>
    <row r="208" spans="89:93" x14ac:dyDescent="0.25">
      <c r="CK208"/>
    </row>
    <row r="209" spans="89:93" x14ac:dyDescent="0.25">
      <c r="CK209"/>
    </row>
    <row r="210" spans="89:93" x14ac:dyDescent="0.25">
      <c r="CK210"/>
    </row>
    <row r="211" spans="89:93" x14ac:dyDescent="0.25">
      <c r="CK211"/>
    </row>
    <row r="212" spans="89:93" x14ac:dyDescent="0.25">
      <c r="CK212"/>
    </row>
    <row r="213" spans="89:93" x14ac:dyDescent="0.25">
      <c r="CK213"/>
      <c r="CL213"/>
      <c r="CM213"/>
    </row>
    <row r="214" spans="89:93" x14ac:dyDescent="0.25">
      <c r="CK214"/>
      <c r="CL214"/>
      <c r="CM214"/>
    </row>
    <row r="215" spans="89:93" x14ac:dyDescent="0.25">
      <c r="CK215"/>
      <c r="CL215"/>
      <c r="CM215"/>
      <c r="CN215"/>
      <c r="CO215"/>
    </row>
    <row r="216" spans="89:93" x14ac:dyDescent="0.25">
      <c r="CK216"/>
      <c r="CL216"/>
      <c r="CM216"/>
      <c r="CN216"/>
      <c r="CO216"/>
    </row>
    <row r="217" spans="89:93" x14ac:dyDescent="0.25">
      <c r="CK217"/>
      <c r="CL217"/>
      <c r="CM217"/>
      <c r="CN217"/>
      <c r="CO217"/>
    </row>
    <row r="218" spans="89:93" x14ac:dyDescent="0.25">
      <c r="CK218"/>
      <c r="CL218"/>
      <c r="CM218"/>
      <c r="CN218"/>
      <c r="CO218"/>
    </row>
    <row r="219" spans="89:93" x14ac:dyDescent="0.25">
      <c r="CK219"/>
      <c r="CL219"/>
      <c r="CM219"/>
      <c r="CN219"/>
      <c r="CO219"/>
    </row>
    <row r="220" spans="89:93" x14ac:dyDescent="0.25">
      <c r="CK220"/>
      <c r="CL220"/>
      <c r="CM220"/>
      <c r="CN220"/>
      <c r="CO220"/>
    </row>
    <row r="221" spans="89:93" x14ac:dyDescent="0.25">
      <c r="CK221"/>
      <c r="CL221"/>
      <c r="CM221"/>
      <c r="CN221"/>
      <c r="CO221"/>
    </row>
    <row r="222" spans="89:93" x14ac:dyDescent="0.25">
      <c r="CK222"/>
      <c r="CL222"/>
      <c r="CM222"/>
      <c r="CN222"/>
      <c r="CO222"/>
    </row>
    <row r="223" spans="89:93" x14ac:dyDescent="0.25">
      <c r="CK223"/>
      <c r="CL223"/>
      <c r="CM223"/>
      <c r="CN223"/>
      <c r="CO223"/>
    </row>
    <row r="224" spans="89:93" x14ac:dyDescent="0.25">
      <c r="CK224"/>
      <c r="CL224"/>
      <c r="CM224"/>
      <c r="CN224"/>
      <c r="CO224"/>
    </row>
    <row r="225" spans="89:93" x14ac:dyDescent="0.25">
      <c r="CK225"/>
      <c r="CL225"/>
      <c r="CM225"/>
      <c r="CN225"/>
      <c r="CO225"/>
    </row>
    <row r="226" spans="89:93" x14ac:dyDescent="0.25">
      <c r="CK226"/>
      <c r="CL226"/>
      <c r="CM226"/>
      <c r="CN226"/>
      <c r="CO226"/>
    </row>
    <row r="227" spans="89:93" x14ac:dyDescent="0.25">
      <c r="CK227"/>
      <c r="CL227"/>
      <c r="CM227"/>
      <c r="CN227"/>
      <c r="CO227"/>
    </row>
    <row r="228" spans="89:93" x14ac:dyDescent="0.25">
      <c r="CK228"/>
      <c r="CL228"/>
      <c r="CM228"/>
      <c r="CN228"/>
      <c r="CO228"/>
    </row>
    <row r="229" spans="89:93" x14ac:dyDescent="0.25">
      <c r="CK229"/>
      <c r="CL229"/>
      <c r="CM229"/>
      <c r="CN229"/>
      <c r="CO229"/>
    </row>
    <row r="230" spans="89:93" x14ac:dyDescent="0.25">
      <c r="CK230"/>
      <c r="CL230"/>
      <c r="CM230"/>
      <c r="CN230"/>
      <c r="CO230"/>
    </row>
    <row r="231" spans="89:93" x14ac:dyDescent="0.25">
      <c r="CK231"/>
      <c r="CL231"/>
      <c r="CM231"/>
      <c r="CN231"/>
      <c r="CO231"/>
    </row>
    <row r="232" spans="89:93" x14ac:dyDescent="0.25">
      <c r="CK232"/>
      <c r="CL232"/>
      <c r="CM232"/>
      <c r="CN232"/>
      <c r="CO232"/>
    </row>
    <row r="233" spans="89:93" x14ac:dyDescent="0.25">
      <c r="CK233"/>
      <c r="CL233"/>
      <c r="CM233"/>
      <c r="CN233"/>
      <c r="CO233"/>
    </row>
    <row r="234" spans="89:93" x14ac:dyDescent="0.25">
      <c r="CK234"/>
      <c r="CL234"/>
      <c r="CM234"/>
      <c r="CN234"/>
      <c r="CO234"/>
    </row>
    <row r="235" spans="89:93" x14ac:dyDescent="0.25">
      <c r="CK235"/>
      <c r="CL235"/>
      <c r="CM235"/>
      <c r="CN235"/>
      <c r="CO235"/>
    </row>
    <row r="236" spans="89:93" x14ac:dyDescent="0.25">
      <c r="CK236"/>
      <c r="CL236"/>
      <c r="CM236"/>
      <c r="CN236"/>
      <c r="CO236"/>
    </row>
    <row r="237" spans="89:93" x14ac:dyDescent="0.25">
      <c r="CK237"/>
      <c r="CL237"/>
      <c r="CM237"/>
      <c r="CN237"/>
      <c r="CO237"/>
    </row>
    <row r="238" spans="89:93" x14ac:dyDescent="0.25">
      <c r="CK238"/>
    </row>
    <row r="239" spans="89:93" x14ac:dyDescent="0.25">
      <c r="CK239"/>
    </row>
    <row r="240" spans="89:93" x14ac:dyDescent="0.25">
      <c r="CK240"/>
    </row>
    <row r="241" spans="89:93" x14ac:dyDescent="0.25">
      <c r="CK241"/>
    </row>
    <row r="242" spans="89:93" x14ac:dyDescent="0.25">
      <c r="CK242"/>
    </row>
    <row r="243" spans="89:93" x14ac:dyDescent="0.25">
      <c r="CK243"/>
    </row>
    <row r="244" spans="89:93" x14ac:dyDescent="0.25">
      <c r="CK244"/>
      <c r="CL244"/>
      <c r="CM244"/>
      <c r="CN244"/>
      <c r="CO244"/>
    </row>
    <row r="245" spans="89:93" x14ac:dyDescent="0.25">
      <c r="CK245"/>
      <c r="CL245"/>
      <c r="CM245"/>
    </row>
    <row r="246" spans="89:93" x14ac:dyDescent="0.25">
      <c r="CK246"/>
      <c r="CL246"/>
      <c r="CM246"/>
    </row>
    <row r="247" spans="89:93" x14ac:dyDescent="0.25">
      <c r="CK247"/>
      <c r="CL247"/>
      <c r="CM247"/>
    </row>
    <row r="248" spans="89:93" x14ac:dyDescent="0.25">
      <c r="CK248"/>
      <c r="CL248"/>
      <c r="CM248"/>
    </row>
    <row r="249" spans="89:93" x14ac:dyDescent="0.25">
      <c r="CK249"/>
      <c r="CL249"/>
      <c r="CM249"/>
    </row>
    <row r="250" spans="89:93" x14ac:dyDescent="0.25">
      <c r="CK250"/>
      <c r="CL250"/>
      <c r="CM250"/>
      <c r="CN250"/>
      <c r="CO250"/>
    </row>
    <row r="251" spans="89:93" x14ac:dyDescent="0.25">
      <c r="CK251"/>
      <c r="CL251"/>
      <c r="CM251"/>
    </row>
    <row r="252" spans="89:93" x14ac:dyDescent="0.25">
      <c r="CK252"/>
      <c r="CL252"/>
      <c r="CM252"/>
    </row>
    <row r="253" spans="89:93" x14ac:dyDescent="0.25">
      <c r="CK253"/>
      <c r="CL253"/>
      <c r="CM253"/>
    </row>
    <row r="254" spans="89:93" x14ac:dyDescent="0.25">
      <c r="CK254"/>
      <c r="CL254"/>
      <c r="CM254"/>
    </row>
    <row r="255" spans="89:93" x14ac:dyDescent="0.25">
      <c r="CK255"/>
      <c r="CL255"/>
      <c r="CM255"/>
    </row>
    <row r="256" spans="89:93" x14ac:dyDescent="0.25">
      <c r="CK256"/>
      <c r="CL256"/>
      <c r="CM256"/>
      <c r="CN256"/>
      <c r="CO256"/>
    </row>
    <row r="257" spans="89:91" x14ac:dyDescent="0.25">
      <c r="CK257"/>
    </row>
    <row r="258" spans="89:91" x14ac:dyDescent="0.25">
      <c r="CK258"/>
    </row>
    <row r="259" spans="89:91" x14ac:dyDescent="0.25">
      <c r="CK259"/>
    </row>
    <row r="260" spans="89:91" x14ac:dyDescent="0.25">
      <c r="CK260"/>
    </row>
    <row r="261" spans="89:91" x14ac:dyDescent="0.25">
      <c r="CK261"/>
    </row>
    <row r="262" spans="89:91" x14ac:dyDescent="0.25">
      <c r="CK262"/>
    </row>
    <row r="263" spans="89:91" x14ac:dyDescent="0.25">
      <c r="CK263"/>
    </row>
    <row r="264" spans="89:91" x14ac:dyDescent="0.25">
      <c r="CK264"/>
    </row>
    <row r="265" spans="89:91" x14ac:dyDescent="0.25">
      <c r="CK265"/>
    </row>
    <row r="266" spans="89:91" x14ac:dyDescent="0.25">
      <c r="CK266"/>
    </row>
    <row r="267" spans="89:91" x14ac:dyDescent="0.25">
      <c r="CK267"/>
    </row>
    <row r="268" spans="89:91" x14ac:dyDescent="0.25">
      <c r="CK268"/>
    </row>
    <row r="269" spans="89:91" x14ac:dyDescent="0.25">
      <c r="CK269"/>
    </row>
    <row r="270" spans="89:91" x14ac:dyDescent="0.25">
      <c r="CK270"/>
      <c r="CL270"/>
      <c r="CM270"/>
    </row>
    <row r="271" spans="89:91" x14ac:dyDescent="0.25">
      <c r="CK271"/>
      <c r="CL271"/>
      <c r="CM271"/>
    </row>
    <row r="272" spans="89:91" x14ac:dyDescent="0.25">
      <c r="CK272"/>
      <c r="CL272"/>
      <c r="CM272"/>
    </row>
    <row r="273" spans="89:93" x14ac:dyDescent="0.25">
      <c r="CK273"/>
      <c r="CL273"/>
      <c r="CM273"/>
    </row>
    <row r="274" spans="89:93" x14ac:dyDescent="0.25">
      <c r="CK274"/>
      <c r="CL274"/>
      <c r="CM274"/>
    </row>
    <row r="275" spans="89:93" x14ac:dyDescent="0.25">
      <c r="CK275"/>
      <c r="CL275"/>
      <c r="CM275"/>
      <c r="CN275"/>
      <c r="CO275"/>
    </row>
    <row r="276" spans="89:93" x14ac:dyDescent="0.25">
      <c r="CK276"/>
    </row>
    <row r="277" spans="89:93" x14ac:dyDescent="0.25">
      <c r="CK277"/>
    </row>
    <row r="278" spans="89:93" x14ac:dyDescent="0.25">
      <c r="CK278"/>
    </row>
    <row r="279" spans="89:93" x14ac:dyDescent="0.25">
      <c r="CK279"/>
    </row>
    <row r="280" spans="89:93" x14ac:dyDescent="0.25">
      <c r="CK280"/>
    </row>
    <row r="281" spans="89:93" x14ac:dyDescent="0.25">
      <c r="CK281"/>
    </row>
    <row r="282" spans="89:93" x14ac:dyDescent="0.25">
      <c r="CK282"/>
      <c r="CL282"/>
      <c r="CM282"/>
      <c r="CN282"/>
      <c r="CO282"/>
    </row>
    <row r="283" spans="89:93" x14ac:dyDescent="0.25">
      <c r="CK283"/>
      <c r="CL283"/>
      <c r="CM283"/>
    </row>
    <row r="284" spans="89:93" x14ac:dyDescent="0.25">
      <c r="CK284"/>
      <c r="CL284"/>
      <c r="CM284"/>
    </row>
    <row r="285" spans="89:93" x14ac:dyDescent="0.25">
      <c r="CK285"/>
      <c r="CL285"/>
      <c r="CM285"/>
    </row>
    <row r="286" spans="89:93" x14ac:dyDescent="0.25">
      <c r="CK286"/>
      <c r="CL286"/>
      <c r="CM286"/>
    </row>
    <row r="287" spans="89:93" x14ac:dyDescent="0.25">
      <c r="CK287"/>
      <c r="CL287"/>
      <c r="CM287"/>
    </row>
    <row r="288" spans="89:93" x14ac:dyDescent="0.25">
      <c r="CK288"/>
      <c r="CL288"/>
      <c r="CM288"/>
      <c r="CN288"/>
      <c r="CO288"/>
    </row>
    <row r="289" spans="89:91" x14ac:dyDescent="0.25">
      <c r="CK289"/>
      <c r="CL289"/>
      <c r="CM289"/>
    </row>
    <row r="290" spans="89:91" x14ac:dyDescent="0.25">
      <c r="CK290"/>
      <c r="CL290"/>
      <c r="CM290"/>
    </row>
    <row r="291" spans="89:91" x14ac:dyDescent="0.25">
      <c r="CK291"/>
      <c r="CL291"/>
      <c r="CM291"/>
    </row>
    <row r="292" spans="89:91" x14ac:dyDescent="0.25">
      <c r="CK292"/>
      <c r="CL292"/>
      <c r="CM292"/>
    </row>
    <row r="293" spans="89:91" x14ac:dyDescent="0.25">
      <c r="CK293"/>
      <c r="CL293"/>
      <c r="CM293"/>
    </row>
  </sheetData>
  <phoneticPr fontId="14" type="noConversion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88DE-9361-46B2-9893-4A181D77A33A}">
  <dimension ref="A3:C13"/>
  <sheetViews>
    <sheetView workbookViewId="0">
      <selection activeCell="B13" sqref="B13"/>
    </sheetView>
  </sheetViews>
  <sheetFormatPr defaultRowHeight="15" x14ac:dyDescent="0.25"/>
  <cols>
    <col min="1" max="1" width="10.140625" bestFit="1" customWidth="1"/>
  </cols>
  <sheetData>
    <row r="3" spans="1:3" x14ac:dyDescent="0.25">
      <c r="A3" t="s">
        <v>305</v>
      </c>
      <c r="B3">
        <f>Výpočet!J32</f>
        <v>80</v>
      </c>
      <c r="C3" t="s">
        <v>306</v>
      </c>
    </row>
    <row r="4" spans="1:3" x14ac:dyDescent="0.25">
      <c r="A4" t="s">
        <v>307</v>
      </c>
      <c r="B4">
        <f>Výpočet!J34</f>
        <v>82</v>
      </c>
      <c r="C4" t="s">
        <v>314</v>
      </c>
    </row>
    <row r="5" spans="1:3" x14ac:dyDescent="0.25">
      <c r="B5">
        <v>0.05</v>
      </c>
      <c r="C5" t="s">
        <v>308</v>
      </c>
    </row>
    <row r="6" spans="1:3" x14ac:dyDescent="0.25">
      <c r="A6" t="s">
        <v>315</v>
      </c>
      <c r="B6">
        <f>B3*B4</f>
        <v>6560</v>
      </c>
      <c r="C6" t="s">
        <v>316</v>
      </c>
    </row>
    <row r="7" spans="1:3" x14ac:dyDescent="0.25">
      <c r="A7" t="s">
        <v>276</v>
      </c>
      <c r="B7">
        <f>B3*B4*B5</f>
        <v>328</v>
      </c>
      <c r="C7" t="s">
        <v>269</v>
      </c>
    </row>
    <row r="8" spans="1:3" x14ac:dyDescent="0.25">
      <c r="A8" t="s">
        <v>263</v>
      </c>
      <c r="B8">
        <v>365</v>
      </c>
      <c r="C8" t="s">
        <v>309</v>
      </c>
    </row>
    <row r="9" spans="1:3" x14ac:dyDescent="0.25">
      <c r="B9">
        <f>B8*B7</f>
        <v>119720</v>
      </c>
      <c r="C9" t="s">
        <v>310</v>
      </c>
    </row>
    <row r="10" spans="1:3" x14ac:dyDescent="0.25">
      <c r="A10" t="s">
        <v>311</v>
      </c>
    </row>
    <row r="11" spans="1:3" x14ac:dyDescent="0.25">
      <c r="A11" t="s">
        <v>312</v>
      </c>
      <c r="B11">
        <v>0.4</v>
      </c>
    </row>
    <row r="12" spans="1:3" x14ac:dyDescent="0.25">
      <c r="A12" t="s">
        <v>276</v>
      </c>
      <c r="B12">
        <f>B11*B7+B7</f>
        <v>459.20000000000005</v>
      </c>
      <c r="C12" t="s">
        <v>269</v>
      </c>
    </row>
    <row r="13" spans="1:3" x14ac:dyDescent="0.25">
      <c r="A13" t="s">
        <v>313</v>
      </c>
      <c r="B13">
        <f>B12*B8</f>
        <v>167608.00000000003</v>
      </c>
      <c r="C13" t="s">
        <v>310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8C9F-7107-47A8-AB7A-27061786D372}">
  <dimension ref="A1:J77"/>
  <sheetViews>
    <sheetView topLeftCell="A43" workbookViewId="0">
      <selection activeCell="M9" sqref="M9"/>
    </sheetView>
  </sheetViews>
  <sheetFormatPr defaultRowHeight="15" x14ac:dyDescent="0.25"/>
  <cols>
    <col min="1" max="1" width="27" customWidth="1"/>
    <col min="2" max="2" width="14.85546875" customWidth="1"/>
  </cols>
  <sheetData>
    <row r="1" spans="1:10" ht="14.45" customHeight="1" x14ac:dyDescent="0.25">
      <c r="A1" s="280" t="s">
        <v>160</v>
      </c>
      <c r="B1" s="34" t="s">
        <v>161</v>
      </c>
      <c r="C1" s="34" t="s">
        <v>163</v>
      </c>
      <c r="D1" s="34"/>
      <c r="E1" s="280" t="s">
        <v>166</v>
      </c>
      <c r="F1" s="280"/>
      <c r="G1" s="280"/>
      <c r="H1" s="280"/>
      <c r="I1" s="280"/>
      <c r="J1" s="280"/>
    </row>
    <row r="2" spans="1:10" ht="14.45" customHeight="1" x14ac:dyDescent="0.25">
      <c r="A2" s="280"/>
      <c r="B2" s="34" t="s">
        <v>162</v>
      </c>
      <c r="C2" s="34" t="s">
        <v>164</v>
      </c>
      <c r="D2" s="34"/>
      <c r="E2" s="280"/>
      <c r="F2" s="280"/>
      <c r="G2" s="280"/>
      <c r="H2" s="280"/>
      <c r="I2" s="280"/>
      <c r="J2" s="280"/>
    </row>
    <row r="3" spans="1:10" ht="14.45" customHeight="1" x14ac:dyDescent="0.25">
      <c r="A3" s="280"/>
      <c r="B3" s="34"/>
      <c r="C3" s="34" t="s">
        <v>165</v>
      </c>
      <c r="D3" s="34"/>
      <c r="E3" s="280" t="s">
        <v>167</v>
      </c>
      <c r="F3" s="280"/>
      <c r="G3" s="280" t="s">
        <v>168</v>
      </c>
      <c r="H3" s="280"/>
      <c r="I3" s="280" t="s">
        <v>169</v>
      </c>
      <c r="J3" s="280"/>
    </row>
    <row r="4" spans="1:10" ht="14.45" customHeight="1" x14ac:dyDescent="0.25">
      <c r="A4" s="280"/>
      <c r="B4" s="34" t="s">
        <v>170</v>
      </c>
      <c r="C4" s="34" t="s">
        <v>171</v>
      </c>
      <c r="D4" s="34"/>
      <c r="E4" s="34" t="s">
        <v>172</v>
      </c>
      <c r="F4" s="34" t="s">
        <v>5</v>
      </c>
      <c r="G4" s="34" t="s">
        <v>172</v>
      </c>
      <c r="H4" s="34" t="s">
        <v>5</v>
      </c>
      <c r="I4" s="34" t="s">
        <v>172</v>
      </c>
      <c r="J4" s="34" t="s">
        <v>5</v>
      </c>
    </row>
    <row r="5" spans="1:10" ht="14.45" customHeight="1" x14ac:dyDescent="0.25">
      <c r="A5" s="280"/>
      <c r="B5" s="34" t="s">
        <v>173</v>
      </c>
      <c r="C5" s="34" t="s">
        <v>174</v>
      </c>
      <c r="D5" s="34"/>
      <c r="E5" s="34" t="s">
        <v>174</v>
      </c>
      <c r="F5" s="34" t="s">
        <v>175</v>
      </c>
      <c r="G5" s="34" t="s">
        <v>174</v>
      </c>
      <c r="H5" s="34" t="s">
        <v>175</v>
      </c>
      <c r="I5" s="34" t="s">
        <v>174</v>
      </c>
      <c r="J5" s="34" t="s">
        <v>175</v>
      </c>
    </row>
    <row r="6" spans="1:10" ht="14.45" customHeight="1" x14ac:dyDescent="0.25">
      <c r="A6" s="35" t="s">
        <v>176</v>
      </c>
      <c r="B6" s="35">
        <v>327</v>
      </c>
      <c r="C6" s="35">
        <v>-15</v>
      </c>
      <c r="D6" s="35">
        <v>-15</v>
      </c>
      <c r="E6" s="35">
        <v>3.5</v>
      </c>
      <c r="F6" s="35">
        <v>234</v>
      </c>
      <c r="G6" s="35">
        <v>3.9</v>
      </c>
      <c r="H6" s="35">
        <v>245</v>
      </c>
      <c r="I6" s="35">
        <v>5.2</v>
      </c>
      <c r="J6" s="35">
        <v>280</v>
      </c>
    </row>
    <row r="7" spans="1:10" ht="14.45" customHeight="1" x14ac:dyDescent="0.25">
      <c r="A7" s="35" t="s">
        <v>177</v>
      </c>
      <c r="B7" s="35">
        <v>229</v>
      </c>
      <c r="C7" s="35">
        <v>-12</v>
      </c>
      <c r="D7" s="35">
        <v>-12</v>
      </c>
      <c r="E7" s="35">
        <v>3.7</v>
      </c>
      <c r="F7" s="35">
        <v>225</v>
      </c>
      <c r="G7" s="35">
        <v>4.0999999999999996</v>
      </c>
      <c r="H7" s="35">
        <v>236</v>
      </c>
      <c r="I7" s="35">
        <v>5.3</v>
      </c>
      <c r="J7" s="35">
        <v>268</v>
      </c>
    </row>
    <row r="8" spans="1:10" ht="14.45" customHeight="1" x14ac:dyDescent="0.25">
      <c r="A8" s="35" t="s">
        <v>178</v>
      </c>
      <c r="B8" s="35">
        <v>273</v>
      </c>
      <c r="C8" s="35">
        <v>-15</v>
      </c>
      <c r="D8" s="35">
        <v>-15</v>
      </c>
      <c r="E8" s="35">
        <v>3.3</v>
      </c>
      <c r="F8" s="35">
        <v>229</v>
      </c>
      <c r="G8" s="35">
        <v>3.7</v>
      </c>
      <c r="H8" s="35">
        <v>241</v>
      </c>
      <c r="I8" s="35">
        <v>5.0999999999999996</v>
      </c>
      <c r="J8" s="35">
        <v>275</v>
      </c>
    </row>
    <row r="9" spans="1:10" ht="14.45" customHeight="1" x14ac:dyDescent="0.25">
      <c r="A9" s="35" t="s">
        <v>179</v>
      </c>
      <c r="B9" s="35">
        <v>227</v>
      </c>
      <c r="C9" s="35" t="s">
        <v>180</v>
      </c>
      <c r="D9" s="35">
        <v>-12</v>
      </c>
      <c r="E9" s="35">
        <v>3.6</v>
      </c>
      <c r="F9" s="35">
        <v>222</v>
      </c>
      <c r="G9" s="35">
        <v>4</v>
      </c>
      <c r="H9" s="35">
        <v>232</v>
      </c>
      <c r="I9" s="35">
        <v>5.0999999999999996</v>
      </c>
      <c r="J9" s="35">
        <v>263</v>
      </c>
    </row>
    <row r="10" spans="1:10" ht="14.45" customHeight="1" x14ac:dyDescent="0.25">
      <c r="A10" s="35" t="s">
        <v>181</v>
      </c>
      <c r="B10" s="35">
        <v>546</v>
      </c>
      <c r="C10" s="35" t="s">
        <v>182</v>
      </c>
      <c r="D10" s="35">
        <v>-18</v>
      </c>
      <c r="E10" s="35">
        <v>2.7</v>
      </c>
      <c r="F10" s="35">
        <v>255</v>
      </c>
      <c r="G10" s="35">
        <v>3.3</v>
      </c>
      <c r="H10" s="35">
        <v>271</v>
      </c>
      <c r="I10" s="35">
        <v>4.8</v>
      </c>
      <c r="J10" s="35">
        <v>315</v>
      </c>
    </row>
    <row r="11" spans="1:10" ht="14.45" customHeight="1" x14ac:dyDescent="0.25">
      <c r="A11" s="35" t="s">
        <v>183</v>
      </c>
      <c r="B11" s="35">
        <v>159</v>
      </c>
      <c r="C11" s="35">
        <v>-12</v>
      </c>
      <c r="D11" s="35">
        <v>-12</v>
      </c>
      <c r="E11" s="35">
        <v>4.0999999999999996</v>
      </c>
      <c r="F11" s="35">
        <v>215</v>
      </c>
      <c r="G11" s="35">
        <v>4.4000000000000004</v>
      </c>
      <c r="H11" s="35">
        <v>224</v>
      </c>
      <c r="I11" s="35">
        <v>5.2</v>
      </c>
      <c r="J11" s="35">
        <v>253</v>
      </c>
    </row>
    <row r="12" spans="1:10" ht="14.45" customHeight="1" x14ac:dyDescent="0.25">
      <c r="A12" s="35" t="s">
        <v>184</v>
      </c>
      <c r="B12" s="35">
        <v>276</v>
      </c>
      <c r="C12" s="35">
        <v>-15</v>
      </c>
      <c r="D12" s="35">
        <v>-15</v>
      </c>
      <c r="E12" s="35">
        <v>3.3</v>
      </c>
      <c r="F12" s="35">
        <v>232</v>
      </c>
      <c r="G12" s="35">
        <v>3.8</v>
      </c>
      <c r="H12" s="35">
        <v>245</v>
      </c>
      <c r="I12" s="35">
        <v>5.0999999999999996</v>
      </c>
      <c r="J12" s="35">
        <v>282</v>
      </c>
    </row>
    <row r="13" spans="1:10" ht="14.45" customHeight="1" x14ac:dyDescent="0.25">
      <c r="A13" s="35" t="s">
        <v>185</v>
      </c>
      <c r="B13" s="35">
        <v>384</v>
      </c>
      <c r="C13" s="35">
        <v>-15</v>
      </c>
      <c r="D13" s="35">
        <v>-15</v>
      </c>
      <c r="E13" s="35">
        <v>3.4</v>
      </c>
      <c r="F13" s="35">
        <v>232</v>
      </c>
      <c r="G13" s="35">
        <v>3.8</v>
      </c>
      <c r="H13" s="35">
        <v>244</v>
      </c>
      <c r="I13" s="35">
        <v>5.0999999999999996</v>
      </c>
      <c r="J13" s="35">
        <v>279</v>
      </c>
    </row>
    <row r="14" spans="1:10" ht="14.45" customHeight="1" x14ac:dyDescent="0.25">
      <c r="A14" s="35" t="s">
        <v>186</v>
      </c>
      <c r="B14" s="35">
        <v>489</v>
      </c>
      <c r="C14" s="35" t="s">
        <v>182</v>
      </c>
      <c r="D14" s="35">
        <v>-18</v>
      </c>
      <c r="E14" s="35">
        <v>3.1</v>
      </c>
      <c r="F14" s="35">
        <v>243</v>
      </c>
      <c r="G14" s="35">
        <v>3.5</v>
      </c>
      <c r="H14" s="35">
        <v>254</v>
      </c>
      <c r="I14" s="35">
        <v>4.5999999999999996</v>
      </c>
      <c r="J14" s="35">
        <v>288</v>
      </c>
    </row>
    <row r="15" spans="1:10" ht="14.45" customHeight="1" x14ac:dyDescent="0.25">
      <c r="A15" s="35" t="s">
        <v>187</v>
      </c>
      <c r="B15" s="35">
        <v>141</v>
      </c>
      <c r="C15" s="35">
        <v>-12</v>
      </c>
      <c r="D15" s="35">
        <v>-12</v>
      </c>
      <c r="E15" s="35">
        <v>3.8</v>
      </c>
      <c r="F15" s="35">
        <v>225</v>
      </c>
      <c r="G15" s="35">
        <v>4.2</v>
      </c>
      <c r="H15" s="35">
        <v>236</v>
      </c>
      <c r="I15" s="35">
        <v>5.5</v>
      </c>
      <c r="J15" s="35">
        <v>269</v>
      </c>
    </row>
    <row r="16" spans="1:10" ht="14.45" customHeight="1" x14ac:dyDescent="0.25">
      <c r="A16" s="35" t="s">
        <v>188</v>
      </c>
      <c r="B16" s="35">
        <v>428</v>
      </c>
      <c r="C16" s="35" t="s">
        <v>189</v>
      </c>
      <c r="D16" s="35">
        <v>-15</v>
      </c>
      <c r="E16" s="35">
        <v>3.4</v>
      </c>
      <c r="F16" s="35">
        <v>235</v>
      </c>
      <c r="G16" s="35">
        <v>3.8</v>
      </c>
      <c r="H16" s="35">
        <v>247</v>
      </c>
      <c r="I16" s="35">
        <v>5.0999999999999996</v>
      </c>
      <c r="J16" s="35">
        <v>284</v>
      </c>
    </row>
    <row r="17" spans="1:10" ht="14.45" customHeight="1" x14ac:dyDescent="0.25">
      <c r="A17" s="35" t="s">
        <v>190</v>
      </c>
      <c r="B17" s="35">
        <v>300</v>
      </c>
      <c r="C17" s="35" t="s">
        <v>189</v>
      </c>
      <c r="D17" s="35">
        <v>-15</v>
      </c>
      <c r="E17" s="35">
        <v>3.4</v>
      </c>
      <c r="F17" s="35">
        <v>225</v>
      </c>
      <c r="G17" s="35">
        <v>3.8</v>
      </c>
      <c r="H17" s="35">
        <v>236</v>
      </c>
      <c r="I17" s="35">
        <v>5.0999999999999996</v>
      </c>
      <c r="J17" s="35">
        <v>269</v>
      </c>
    </row>
    <row r="18" spans="1:10" ht="14.45" customHeight="1" x14ac:dyDescent="0.25">
      <c r="A18" s="35" t="s">
        <v>191</v>
      </c>
      <c r="B18" s="35">
        <v>422</v>
      </c>
      <c r="C18" s="35" t="s">
        <v>189</v>
      </c>
      <c r="D18" s="35">
        <v>-15</v>
      </c>
      <c r="E18" s="35">
        <v>2.8</v>
      </c>
      <c r="F18" s="35">
        <v>239</v>
      </c>
      <c r="G18" s="35">
        <v>3.3</v>
      </c>
      <c r="H18" s="35">
        <v>253</v>
      </c>
      <c r="I18" s="35">
        <v>4.9000000000000004</v>
      </c>
      <c r="J18" s="35">
        <v>294</v>
      </c>
    </row>
    <row r="19" spans="1:10" ht="14.45" customHeight="1" x14ac:dyDescent="0.25">
      <c r="A19" s="35" t="s">
        <v>192</v>
      </c>
      <c r="B19" s="35">
        <v>162</v>
      </c>
      <c r="C19" s="35">
        <v>-12</v>
      </c>
      <c r="D19" s="35">
        <v>-12</v>
      </c>
      <c r="E19" s="35">
        <v>3.9</v>
      </c>
      <c r="F19" s="35">
        <v>208</v>
      </c>
      <c r="G19" s="35">
        <v>4.2</v>
      </c>
      <c r="H19" s="35">
        <v>215</v>
      </c>
      <c r="I19" s="35">
        <v>5.0999999999999996</v>
      </c>
      <c r="J19" s="35">
        <v>240</v>
      </c>
    </row>
    <row r="20" spans="1:10" ht="14.45" customHeight="1" x14ac:dyDescent="0.25">
      <c r="A20" s="35" t="s">
        <v>193</v>
      </c>
      <c r="B20" s="35">
        <v>244</v>
      </c>
      <c r="C20" s="35">
        <v>-12</v>
      </c>
      <c r="D20" s="35">
        <v>-12</v>
      </c>
      <c r="E20" s="35">
        <v>3.4</v>
      </c>
      <c r="F20" s="35">
        <v>229</v>
      </c>
      <c r="G20" s="35">
        <v>3.9</v>
      </c>
      <c r="H20" s="35">
        <v>242</v>
      </c>
      <c r="I20" s="35">
        <v>5.2</v>
      </c>
      <c r="J20" s="35">
        <v>279</v>
      </c>
    </row>
    <row r="21" spans="1:10" ht="14.45" customHeight="1" x14ac:dyDescent="0.25">
      <c r="A21" s="35" t="s">
        <v>194</v>
      </c>
      <c r="B21" s="35">
        <v>448</v>
      </c>
      <c r="C21" s="35">
        <v>-15</v>
      </c>
      <c r="D21" s="35">
        <v>-15</v>
      </c>
      <c r="E21" s="35">
        <v>3</v>
      </c>
      <c r="F21" s="35">
        <v>246</v>
      </c>
      <c r="G21" s="35">
        <v>3.6</v>
      </c>
      <c r="H21" s="35">
        <v>262</v>
      </c>
      <c r="I21" s="35">
        <v>5.2</v>
      </c>
      <c r="J21" s="35">
        <v>306</v>
      </c>
    </row>
    <row r="22" spans="1:10" ht="14.45" customHeight="1" x14ac:dyDescent="0.25">
      <c r="A22" s="35" t="s">
        <v>195</v>
      </c>
      <c r="B22" s="35">
        <v>330</v>
      </c>
      <c r="C22" s="35" t="s">
        <v>180</v>
      </c>
      <c r="D22" s="35">
        <v>-12</v>
      </c>
      <c r="E22" s="35">
        <v>3.7</v>
      </c>
      <c r="F22" s="35">
        <v>223</v>
      </c>
      <c r="G22" s="35">
        <v>4.0999999999999996</v>
      </c>
      <c r="H22" s="35">
        <v>233</v>
      </c>
      <c r="I22" s="35">
        <v>5.2</v>
      </c>
      <c r="J22" s="35">
        <v>264</v>
      </c>
    </row>
    <row r="23" spans="1:10" ht="14.45" customHeight="1" x14ac:dyDescent="0.25">
      <c r="A23" s="35" t="s">
        <v>196</v>
      </c>
      <c r="B23" s="35">
        <v>276</v>
      </c>
      <c r="C23" s="35" t="s">
        <v>180</v>
      </c>
      <c r="D23" s="35">
        <v>-12</v>
      </c>
      <c r="E23" s="35">
        <v>3.6</v>
      </c>
      <c r="F23" s="35">
        <v>225</v>
      </c>
      <c r="G23" s="35">
        <v>4.0999999999999996</v>
      </c>
      <c r="H23" s="35">
        <v>238</v>
      </c>
      <c r="I23" s="35">
        <v>5.9</v>
      </c>
      <c r="J23" s="35">
        <v>276</v>
      </c>
    </row>
    <row r="24" spans="1:10" ht="14.45" customHeight="1" x14ac:dyDescent="0.25">
      <c r="A24" s="35" t="s">
        <v>197</v>
      </c>
      <c r="B24" s="35">
        <v>502</v>
      </c>
      <c r="C24" s="35" t="s">
        <v>182</v>
      </c>
      <c r="D24" s="35">
        <v>-18</v>
      </c>
      <c r="E24" s="35">
        <v>3.1</v>
      </c>
      <c r="F24" s="35">
        <v>241</v>
      </c>
      <c r="G24" s="35">
        <v>3.6</v>
      </c>
      <c r="H24" s="35">
        <v>256</v>
      </c>
      <c r="I24" s="35">
        <v>5.0999999999999996</v>
      </c>
      <c r="J24" s="35">
        <v>298</v>
      </c>
    </row>
    <row r="25" spans="1:10" ht="14.45" customHeight="1" x14ac:dyDescent="0.25">
      <c r="A25" s="35" t="s">
        <v>198</v>
      </c>
      <c r="B25" s="35">
        <v>278</v>
      </c>
      <c r="C25" s="35">
        <v>-15</v>
      </c>
      <c r="D25" s="35">
        <v>-15</v>
      </c>
      <c r="E25" s="35">
        <v>3.5</v>
      </c>
      <c r="F25" s="35">
        <v>223</v>
      </c>
      <c r="G25" s="35">
        <v>3.9</v>
      </c>
      <c r="H25" s="35">
        <v>234</v>
      </c>
      <c r="I25" s="35">
        <v>5.2</v>
      </c>
      <c r="J25" s="35">
        <v>268</v>
      </c>
    </row>
    <row r="26" spans="1:10" ht="14.45" customHeight="1" x14ac:dyDescent="0.25">
      <c r="A26" s="35" t="s">
        <v>199</v>
      </c>
      <c r="B26" s="35">
        <v>516</v>
      </c>
      <c r="C26" s="35">
        <v>-15</v>
      </c>
      <c r="D26" s="35">
        <v>-15</v>
      </c>
      <c r="E26" s="35">
        <v>3</v>
      </c>
      <c r="F26" s="35">
        <v>243</v>
      </c>
      <c r="G26" s="35">
        <v>3.5</v>
      </c>
      <c r="H26" s="35">
        <v>257</v>
      </c>
      <c r="I26" s="35">
        <v>4.8</v>
      </c>
      <c r="J26" s="35">
        <v>296</v>
      </c>
    </row>
    <row r="27" spans="1:10" ht="14.45" customHeight="1" x14ac:dyDescent="0.25">
      <c r="A27" s="35" t="s">
        <v>200</v>
      </c>
      <c r="B27" s="35">
        <v>478</v>
      </c>
      <c r="C27" s="35">
        <v>-15</v>
      </c>
      <c r="D27" s="35">
        <v>-15</v>
      </c>
      <c r="E27" s="35">
        <v>3</v>
      </c>
      <c r="F27" s="35">
        <v>242</v>
      </c>
      <c r="G27" s="35">
        <v>3.5</v>
      </c>
      <c r="H27" s="35">
        <v>256</v>
      </c>
      <c r="I27" s="35">
        <v>5</v>
      </c>
      <c r="J27" s="35">
        <v>296</v>
      </c>
    </row>
    <row r="28" spans="1:10" ht="14.45" customHeight="1" x14ac:dyDescent="0.25">
      <c r="A28" s="35" t="s">
        <v>201</v>
      </c>
      <c r="B28" s="35">
        <v>379</v>
      </c>
      <c r="C28" s="35" t="s">
        <v>189</v>
      </c>
      <c r="D28" s="35">
        <v>-15</v>
      </c>
      <c r="E28" s="35">
        <v>3.3</v>
      </c>
      <c r="F28" s="35">
        <v>240</v>
      </c>
      <c r="G28" s="35">
        <v>3.8</v>
      </c>
      <c r="H28" s="35">
        <v>254</v>
      </c>
      <c r="I28" s="35">
        <v>5.0999999999999996</v>
      </c>
      <c r="J28" s="35">
        <v>293</v>
      </c>
    </row>
    <row r="29" spans="1:10" ht="14.45" customHeight="1" x14ac:dyDescent="0.25">
      <c r="A29" s="35" t="s">
        <v>202</v>
      </c>
      <c r="B29" s="35">
        <v>230</v>
      </c>
      <c r="C29" s="35">
        <v>-15</v>
      </c>
      <c r="D29" s="35">
        <v>-15</v>
      </c>
      <c r="E29" s="35">
        <v>3.6</v>
      </c>
      <c r="F29" s="35">
        <v>223</v>
      </c>
      <c r="G29" s="35">
        <v>4</v>
      </c>
      <c r="H29" s="35">
        <v>234</v>
      </c>
      <c r="I29" s="35">
        <v>5.3</v>
      </c>
      <c r="J29" s="35">
        <v>267</v>
      </c>
    </row>
    <row r="30" spans="1:10" ht="14.45" customHeight="1" x14ac:dyDescent="0.25">
      <c r="A30" s="35" t="s">
        <v>203</v>
      </c>
      <c r="B30" s="35">
        <v>380</v>
      </c>
      <c r="C30" s="35">
        <v>-15</v>
      </c>
      <c r="D30" s="35">
        <v>-15</v>
      </c>
      <c r="E30" s="35">
        <v>4</v>
      </c>
      <c r="F30" s="35">
        <v>243</v>
      </c>
      <c r="G30" s="35">
        <v>4.5</v>
      </c>
      <c r="H30" s="35">
        <v>258</v>
      </c>
      <c r="I30" s="35">
        <v>5</v>
      </c>
      <c r="J30" s="35">
        <v>300</v>
      </c>
    </row>
    <row r="31" spans="1:10" ht="14.45" customHeight="1" x14ac:dyDescent="0.25">
      <c r="A31" s="35" t="s">
        <v>204</v>
      </c>
      <c r="B31" s="35">
        <v>409</v>
      </c>
      <c r="C31" s="35" t="s">
        <v>189</v>
      </c>
      <c r="D31" s="35">
        <v>-15</v>
      </c>
      <c r="E31" s="35">
        <v>3.4</v>
      </c>
      <c r="F31" s="35">
        <v>235</v>
      </c>
      <c r="G31" s="35">
        <v>3.9</v>
      </c>
      <c r="H31" s="35">
        <v>248</v>
      </c>
      <c r="I31" s="35">
        <v>5.2</v>
      </c>
      <c r="J31" s="35">
        <v>286</v>
      </c>
    </row>
    <row r="32" spans="1:10" ht="14.45" customHeight="1" x14ac:dyDescent="0.25">
      <c r="A32" s="35" t="s">
        <v>205</v>
      </c>
      <c r="B32" s="35">
        <v>223</v>
      </c>
      <c r="C32" s="35" t="s">
        <v>180</v>
      </c>
      <c r="D32" s="35">
        <v>-12</v>
      </c>
      <c r="E32" s="35">
        <v>4</v>
      </c>
      <c r="F32" s="35">
        <v>216</v>
      </c>
      <c r="G32" s="35">
        <v>4.4000000000000004</v>
      </c>
      <c r="H32" s="35">
        <v>226</v>
      </c>
      <c r="I32" s="35">
        <v>5.9</v>
      </c>
      <c r="J32" s="35">
        <v>257</v>
      </c>
    </row>
    <row r="33" spans="1:10" ht="14.45" customHeight="1" x14ac:dyDescent="0.25">
      <c r="A33" s="35" t="s">
        <v>206</v>
      </c>
      <c r="B33" s="35">
        <v>207</v>
      </c>
      <c r="C33" s="35">
        <v>-12</v>
      </c>
      <c r="D33" s="35">
        <v>-12</v>
      </c>
      <c r="E33" s="35">
        <v>3.5</v>
      </c>
      <c r="F33" s="35">
        <v>217</v>
      </c>
      <c r="G33" s="35">
        <v>3.9</v>
      </c>
      <c r="H33" s="35">
        <v>227</v>
      </c>
      <c r="I33" s="35">
        <v>5.0999999999999996</v>
      </c>
      <c r="J33" s="35">
        <v>258</v>
      </c>
    </row>
    <row r="34" spans="1:10" ht="14.45" customHeight="1" x14ac:dyDescent="0.25">
      <c r="A34" s="35" t="s">
        <v>207</v>
      </c>
      <c r="B34" s="35">
        <v>253</v>
      </c>
      <c r="C34" s="35" t="s">
        <v>180</v>
      </c>
      <c r="D34" s="35">
        <v>-12</v>
      </c>
      <c r="E34" s="35">
        <v>4</v>
      </c>
      <c r="F34" s="35">
        <v>216</v>
      </c>
      <c r="G34" s="35">
        <v>4.4000000000000004</v>
      </c>
      <c r="H34" s="35">
        <v>226</v>
      </c>
      <c r="I34" s="35">
        <v>5.9</v>
      </c>
      <c r="J34" s="35">
        <v>257</v>
      </c>
    </row>
    <row r="35" spans="1:10" ht="14.45" customHeight="1" x14ac:dyDescent="0.25">
      <c r="A35" s="35" t="s">
        <v>208</v>
      </c>
      <c r="B35" s="35">
        <v>357</v>
      </c>
      <c r="C35" s="35">
        <v>-18</v>
      </c>
      <c r="D35" s="35">
        <v>-18</v>
      </c>
      <c r="E35" s="35">
        <v>3.1</v>
      </c>
      <c r="F35" s="35">
        <v>241</v>
      </c>
      <c r="G35" s="35">
        <v>3.6</v>
      </c>
      <c r="H35" s="35">
        <v>256</v>
      </c>
      <c r="I35" s="35">
        <v>5.0999999999999996</v>
      </c>
      <c r="J35" s="35">
        <v>298</v>
      </c>
    </row>
    <row r="36" spans="1:10" ht="14.45" customHeight="1" x14ac:dyDescent="0.25">
      <c r="A36" s="35" t="s">
        <v>209</v>
      </c>
      <c r="B36" s="35">
        <v>171</v>
      </c>
      <c r="C36" s="35" t="s">
        <v>180</v>
      </c>
      <c r="D36" s="35">
        <v>-12</v>
      </c>
      <c r="E36" s="35">
        <v>3.7</v>
      </c>
      <c r="F36" s="35">
        <v>222</v>
      </c>
      <c r="G36" s="35">
        <v>4.0999999999999996</v>
      </c>
      <c r="H36" s="35">
        <v>232</v>
      </c>
      <c r="I36" s="35">
        <v>5.2</v>
      </c>
      <c r="J36" s="35">
        <v>263</v>
      </c>
    </row>
    <row r="37" spans="1:10" ht="14.45" customHeight="1" x14ac:dyDescent="0.25">
      <c r="A37" s="35" t="s">
        <v>210</v>
      </c>
      <c r="B37" s="35">
        <v>201</v>
      </c>
      <c r="C37" s="35">
        <v>-12</v>
      </c>
      <c r="D37" s="35">
        <v>-12</v>
      </c>
      <c r="E37" s="35">
        <v>3.7</v>
      </c>
      <c r="F37" s="35">
        <v>219</v>
      </c>
      <c r="G37" s="35">
        <v>4.0999999999999996</v>
      </c>
      <c r="H37" s="35">
        <v>229</v>
      </c>
      <c r="I37" s="35">
        <v>5.2</v>
      </c>
      <c r="J37" s="35">
        <v>260</v>
      </c>
    </row>
    <row r="38" spans="1:10" ht="14.45" customHeight="1" x14ac:dyDescent="0.25">
      <c r="A38" s="35" t="s">
        <v>211</v>
      </c>
      <c r="B38" s="35">
        <v>155</v>
      </c>
      <c r="C38" s="35">
        <v>-12</v>
      </c>
      <c r="D38" s="35">
        <v>-12</v>
      </c>
      <c r="E38" s="35">
        <v>3.7</v>
      </c>
      <c r="F38" s="35">
        <v>219</v>
      </c>
      <c r="G38" s="35">
        <v>4.0999999999999996</v>
      </c>
      <c r="H38" s="35">
        <v>229</v>
      </c>
      <c r="I38" s="35">
        <v>5.3</v>
      </c>
      <c r="J38" s="35">
        <v>261</v>
      </c>
    </row>
    <row r="39" spans="1:10" ht="14.45" customHeight="1" x14ac:dyDescent="0.25">
      <c r="A39" s="35" t="s">
        <v>212</v>
      </c>
      <c r="B39" s="35">
        <v>230</v>
      </c>
      <c r="C39" s="35">
        <v>-12</v>
      </c>
      <c r="D39" s="35">
        <v>-12</v>
      </c>
      <c r="E39" s="35">
        <v>3.5</v>
      </c>
      <c r="F39" s="35">
        <v>225</v>
      </c>
      <c r="G39" s="35">
        <v>3.9</v>
      </c>
      <c r="H39" s="35">
        <v>235</v>
      </c>
      <c r="I39" s="35">
        <v>5.0999999999999996</v>
      </c>
      <c r="J39" s="35">
        <v>267</v>
      </c>
    </row>
    <row r="40" spans="1:10" ht="14.45" customHeight="1" x14ac:dyDescent="0.25">
      <c r="A40" s="35" t="s">
        <v>213</v>
      </c>
      <c r="B40" s="35">
        <v>230</v>
      </c>
      <c r="C40" s="35" t="s">
        <v>180</v>
      </c>
      <c r="D40" s="35">
        <v>-12</v>
      </c>
      <c r="E40" s="35">
        <v>3.7</v>
      </c>
      <c r="F40" s="35">
        <v>223</v>
      </c>
      <c r="G40" s="35">
        <v>4.0999999999999996</v>
      </c>
      <c r="H40" s="35">
        <v>233</v>
      </c>
      <c r="I40" s="35">
        <v>5.2</v>
      </c>
      <c r="J40" s="35">
        <v>264</v>
      </c>
    </row>
    <row r="41" spans="1:10" ht="14.45" customHeight="1" x14ac:dyDescent="0.25">
      <c r="A41" s="35" t="s">
        <v>214</v>
      </c>
      <c r="B41" s="35">
        <v>344</v>
      </c>
      <c r="C41" s="35">
        <v>-15</v>
      </c>
      <c r="D41" s="35">
        <v>-15</v>
      </c>
      <c r="E41" s="35">
        <v>3.1</v>
      </c>
      <c r="F41" s="35">
        <v>235</v>
      </c>
      <c r="G41" s="35">
        <v>3.7</v>
      </c>
      <c r="H41" s="35">
        <v>250</v>
      </c>
      <c r="I41" s="35">
        <v>4.8</v>
      </c>
      <c r="J41" s="35">
        <v>292</v>
      </c>
    </row>
    <row r="42" spans="1:10" ht="14.45" customHeight="1" x14ac:dyDescent="0.25">
      <c r="A42" s="35" t="s">
        <v>215</v>
      </c>
      <c r="B42" s="35">
        <v>284</v>
      </c>
      <c r="C42" s="35" t="s">
        <v>189</v>
      </c>
      <c r="D42" s="35">
        <v>-15</v>
      </c>
      <c r="E42" s="35">
        <v>3.3</v>
      </c>
      <c r="F42" s="35">
        <v>229</v>
      </c>
      <c r="G42" s="35">
        <v>3.8</v>
      </c>
      <c r="H42" s="35">
        <v>242</v>
      </c>
      <c r="I42" s="35">
        <v>5.2</v>
      </c>
      <c r="J42" s="35">
        <v>280</v>
      </c>
    </row>
    <row r="43" spans="1:10" ht="14.45" customHeight="1" x14ac:dyDescent="0.25">
      <c r="A43" s="35" t="s">
        <v>216</v>
      </c>
      <c r="B43" s="35">
        <v>186</v>
      </c>
      <c r="C43" s="35" t="s">
        <v>180</v>
      </c>
      <c r="D43" s="35">
        <v>-12</v>
      </c>
      <c r="E43" s="35">
        <v>3.8</v>
      </c>
      <c r="F43" s="35">
        <v>217</v>
      </c>
      <c r="G43" s="35">
        <v>4.2</v>
      </c>
      <c r="H43" s="35">
        <v>228</v>
      </c>
      <c r="I43" s="35">
        <v>5.5</v>
      </c>
      <c r="J43" s="35">
        <v>262</v>
      </c>
    </row>
    <row r="44" spans="1:10" ht="14.45" customHeight="1" x14ac:dyDescent="0.25">
      <c r="A44" s="35" t="s">
        <v>217</v>
      </c>
      <c r="B44" s="35">
        <v>226</v>
      </c>
      <c r="C44" s="35">
        <v>-15</v>
      </c>
      <c r="D44" s="35">
        <v>-15</v>
      </c>
      <c r="E44" s="35">
        <v>3.4</v>
      </c>
      <c r="F44" s="35">
        <v>221</v>
      </c>
      <c r="G44" s="35">
        <v>3.8</v>
      </c>
      <c r="H44" s="35">
        <v>231</v>
      </c>
      <c r="I44" s="35">
        <v>5</v>
      </c>
      <c r="J44" s="35">
        <v>262</v>
      </c>
    </row>
    <row r="45" spans="1:10" ht="14.45" customHeight="1" x14ac:dyDescent="0.25">
      <c r="A45" s="35" t="s">
        <v>218</v>
      </c>
      <c r="B45" s="35">
        <v>258</v>
      </c>
      <c r="C45" s="35">
        <v>-15</v>
      </c>
      <c r="D45" s="35">
        <v>-15</v>
      </c>
      <c r="E45" s="35">
        <v>3.5</v>
      </c>
      <c r="F45" s="35">
        <v>228</v>
      </c>
      <c r="G45" s="35">
        <v>3.9</v>
      </c>
      <c r="H45" s="35">
        <v>232</v>
      </c>
      <c r="I45" s="35">
        <v>5.2</v>
      </c>
      <c r="J45" s="35">
        <v>274</v>
      </c>
    </row>
    <row r="46" spans="1:10" ht="14.45" customHeight="1" x14ac:dyDescent="0.25">
      <c r="A46" s="35" t="s">
        <v>219</v>
      </c>
      <c r="B46" s="35">
        <v>217</v>
      </c>
      <c r="C46" s="35">
        <v>-15</v>
      </c>
      <c r="D46" s="35">
        <v>-15</v>
      </c>
      <c r="E46" s="35">
        <v>3.6</v>
      </c>
      <c r="F46" s="35">
        <v>219</v>
      </c>
      <c r="G46" s="35">
        <v>4</v>
      </c>
      <c r="H46" s="35">
        <v>229</v>
      </c>
      <c r="I46" s="35">
        <v>5.2</v>
      </c>
      <c r="J46" s="35">
        <v>260</v>
      </c>
    </row>
    <row r="47" spans="1:10" ht="14.45" customHeight="1" x14ac:dyDescent="0.25">
      <c r="A47" s="35" t="s">
        <v>220</v>
      </c>
      <c r="B47" s="35">
        <v>223</v>
      </c>
      <c r="C47" s="35" t="s">
        <v>180</v>
      </c>
      <c r="D47" s="35">
        <v>-12</v>
      </c>
      <c r="E47" s="35">
        <v>3.7</v>
      </c>
      <c r="F47" s="35">
        <v>224</v>
      </c>
      <c r="G47" s="35">
        <v>4.0999999999999996</v>
      </c>
      <c r="H47" s="35">
        <v>234</v>
      </c>
      <c r="I47" s="35">
        <v>5.2</v>
      </c>
      <c r="J47" s="35">
        <v>265</v>
      </c>
    </row>
    <row r="48" spans="1:10" ht="14.45" customHeight="1" x14ac:dyDescent="0.25">
      <c r="A48" s="35" t="s">
        <v>221</v>
      </c>
      <c r="B48" s="35">
        <v>499</v>
      </c>
      <c r="C48" s="35" t="s">
        <v>189</v>
      </c>
      <c r="D48" s="35">
        <v>-15</v>
      </c>
      <c r="E48" s="35">
        <v>3</v>
      </c>
      <c r="F48" s="35">
        <v>241</v>
      </c>
      <c r="G48" s="35">
        <v>3.6</v>
      </c>
      <c r="H48" s="35">
        <v>257</v>
      </c>
      <c r="I48" s="35">
        <v>5.0999999999999996</v>
      </c>
      <c r="J48" s="35">
        <v>300</v>
      </c>
    </row>
    <row r="49" spans="1:10" ht="14.45" customHeight="1" x14ac:dyDescent="0.25">
      <c r="A49" s="35" t="s">
        <v>222</v>
      </c>
      <c r="B49" s="35">
        <v>348</v>
      </c>
      <c r="C49" s="35">
        <v>-15</v>
      </c>
      <c r="D49" s="35">
        <v>-15</v>
      </c>
      <c r="E49" s="35">
        <v>3.2</v>
      </c>
      <c r="F49" s="35">
        <v>235</v>
      </c>
      <c r="G49" s="35">
        <v>3.7</v>
      </c>
      <c r="H49" s="35">
        <v>247</v>
      </c>
      <c r="I49" s="35">
        <v>5</v>
      </c>
      <c r="J49" s="35">
        <v>284</v>
      </c>
    </row>
    <row r="50" spans="1:10" ht="14.45" customHeight="1" x14ac:dyDescent="0.25">
      <c r="A50" s="35" t="s">
        <v>223</v>
      </c>
      <c r="B50" s="35">
        <v>311</v>
      </c>
      <c r="C50" s="35">
        <v>-12</v>
      </c>
      <c r="D50" s="35">
        <v>-12</v>
      </c>
      <c r="E50" s="35">
        <v>3.3</v>
      </c>
      <c r="F50" s="35">
        <v>233</v>
      </c>
      <c r="G50" s="35">
        <v>3.6</v>
      </c>
      <c r="H50" s="35">
        <v>242</v>
      </c>
      <c r="I50" s="35">
        <v>4.8</v>
      </c>
      <c r="J50" s="35">
        <v>272</v>
      </c>
    </row>
    <row r="51" spans="1:10" ht="14.45" customHeight="1" x14ac:dyDescent="0.25">
      <c r="A51" s="35" t="s">
        <v>224</v>
      </c>
      <c r="B51" s="35">
        <v>181</v>
      </c>
      <c r="C51" s="35">
        <v>-12</v>
      </c>
      <c r="D51" s="35">
        <v>-12</v>
      </c>
      <c r="E51" s="35">
        <v>4</v>
      </c>
      <c r="F51" s="35">
        <v>216</v>
      </c>
      <c r="G51" s="35">
        <v>4.3</v>
      </c>
      <c r="H51" s="35">
        <v>225</v>
      </c>
      <c r="I51" s="35">
        <v>5.0999999999999996</v>
      </c>
      <c r="J51" s="35">
        <v>254</v>
      </c>
    </row>
    <row r="52" spans="1:10" ht="14.45" customHeight="1" x14ac:dyDescent="0.25">
      <c r="A52" s="35" t="s">
        <v>225</v>
      </c>
      <c r="B52" s="35">
        <v>574</v>
      </c>
      <c r="C52" s="35" t="s">
        <v>182</v>
      </c>
      <c r="D52" s="35">
        <v>-18</v>
      </c>
      <c r="E52" s="35">
        <v>3.3</v>
      </c>
      <c r="F52" s="35">
        <v>253</v>
      </c>
      <c r="G52" s="35">
        <v>3.8</v>
      </c>
      <c r="H52" s="35">
        <v>267</v>
      </c>
      <c r="I52" s="35">
        <v>5.0999999999999996</v>
      </c>
      <c r="J52" s="35">
        <v>307</v>
      </c>
    </row>
    <row r="53" spans="1:10" ht="14.45" customHeight="1" x14ac:dyDescent="0.25">
      <c r="A53" s="35" t="s">
        <v>226</v>
      </c>
      <c r="B53" s="35">
        <v>226</v>
      </c>
      <c r="C53" s="35">
        <v>-15</v>
      </c>
      <c r="D53" s="35">
        <v>-15</v>
      </c>
      <c r="E53" s="35">
        <v>3.4</v>
      </c>
      <c r="F53" s="35">
        <v>220</v>
      </c>
      <c r="G53" s="35">
        <v>3.9</v>
      </c>
      <c r="H53" s="35">
        <v>228</v>
      </c>
      <c r="I53" s="35">
        <v>5</v>
      </c>
      <c r="J53" s="35">
        <v>261</v>
      </c>
    </row>
    <row r="54" spans="1:10" ht="14.45" customHeight="1" x14ac:dyDescent="0.25">
      <c r="A54" s="35" t="s">
        <v>227</v>
      </c>
      <c r="B54" s="35">
        <v>212</v>
      </c>
      <c r="C54" s="35">
        <v>-12</v>
      </c>
      <c r="D54" s="35">
        <v>-12</v>
      </c>
      <c r="E54" s="35">
        <v>3.5</v>
      </c>
      <c r="F54" s="35">
        <v>218</v>
      </c>
      <c r="G54" s="35">
        <v>3.5</v>
      </c>
      <c r="H54" s="35">
        <v>252</v>
      </c>
      <c r="I54" s="35">
        <v>5.0999999999999996</v>
      </c>
      <c r="J54" s="35">
        <v>259</v>
      </c>
    </row>
    <row r="55" spans="1:10" ht="14.45" customHeight="1" x14ac:dyDescent="0.25">
      <c r="A55" s="35" t="s">
        <v>228</v>
      </c>
      <c r="B55" s="35">
        <v>502</v>
      </c>
      <c r="C55" s="35">
        <v>-15</v>
      </c>
      <c r="D55" s="35">
        <v>-15</v>
      </c>
      <c r="E55" s="35">
        <v>3</v>
      </c>
      <c r="F55" s="35">
        <v>239</v>
      </c>
      <c r="G55" s="35">
        <v>3.8</v>
      </c>
      <c r="H55" s="35">
        <v>230</v>
      </c>
      <c r="I55" s="35">
        <v>4.9000000000000004</v>
      </c>
      <c r="J55" s="35">
        <v>290</v>
      </c>
    </row>
    <row r="56" spans="1:10" ht="14.45" customHeight="1" x14ac:dyDescent="0.25">
      <c r="A56" s="35" t="s">
        <v>229</v>
      </c>
      <c r="B56" s="35">
        <v>332</v>
      </c>
      <c r="C56" s="35">
        <v>-15</v>
      </c>
      <c r="D56" s="35">
        <v>-15</v>
      </c>
      <c r="E56" s="35">
        <v>3.4</v>
      </c>
      <c r="F56" s="35">
        <v>232</v>
      </c>
      <c r="G56" s="35">
        <v>4</v>
      </c>
      <c r="H56" s="35">
        <v>250</v>
      </c>
      <c r="I56" s="35">
        <v>5.7</v>
      </c>
      <c r="J56" s="35">
        <v>297</v>
      </c>
    </row>
    <row r="57" spans="1:10" ht="14.45" customHeight="1" x14ac:dyDescent="0.25">
      <c r="A57" s="35" t="s">
        <v>230</v>
      </c>
      <c r="B57" s="35">
        <v>363</v>
      </c>
      <c r="C57" s="35">
        <v>-15</v>
      </c>
      <c r="D57" s="35">
        <v>-15</v>
      </c>
      <c r="E57" s="35">
        <v>3</v>
      </c>
      <c r="F57" s="35">
        <v>239</v>
      </c>
      <c r="G57" s="35">
        <v>3.5</v>
      </c>
      <c r="H57" s="35">
        <v>252</v>
      </c>
      <c r="I57" s="35">
        <v>4.9000000000000004</v>
      </c>
      <c r="J57" s="35">
        <v>290</v>
      </c>
    </row>
    <row r="58" spans="1:10" ht="14.45" customHeight="1" x14ac:dyDescent="0.25">
      <c r="A58" s="35" t="s">
        <v>231</v>
      </c>
      <c r="B58" s="35">
        <v>325</v>
      </c>
      <c r="C58" s="35">
        <v>-15</v>
      </c>
      <c r="D58" s="35">
        <v>-15</v>
      </c>
      <c r="E58" s="35">
        <v>3</v>
      </c>
      <c r="F58" s="35">
        <v>241</v>
      </c>
      <c r="G58" s="35">
        <v>3.5</v>
      </c>
      <c r="H58" s="35">
        <v>254</v>
      </c>
      <c r="I58" s="35">
        <v>4.8</v>
      </c>
      <c r="J58" s="35">
        <v>291</v>
      </c>
    </row>
    <row r="59" spans="1:10" ht="14.45" customHeight="1" x14ac:dyDescent="0.25">
      <c r="A59" s="35" t="s">
        <v>232</v>
      </c>
      <c r="B59" s="35">
        <v>334</v>
      </c>
      <c r="C59" s="35" t="s">
        <v>182</v>
      </c>
      <c r="D59" s="35">
        <v>-18</v>
      </c>
      <c r="E59" s="35">
        <v>2.8</v>
      </c>
      <c r="F59" s="35">
        <v>243</v>
      </c>
      <c r="G59" s="35">
        <v>3.4</v>
      </c>
      <c r="H59" s="35">
        <v>259</v>
      </c>
      <c r="I59" s="35">
        <v>4.7</v>
      </c>
      <c r="J59" s="35">
        <v>303</v>
      </c>
    </row>
    <row r="60" spans="1:10" ht="14.45" customHeight="1" x14ac:dyDescent="0.25">
      <c r="A60" s="35" t="s">
        <v>233</v>
      </c>
      <c r="B60" s="35">
        <v>405</v>
      </c>
      <c r="C60" s="35" t="s">
        <v>189</v>
      </c>
      <c r="D60" s="35">
        <v>-15</v>
      </c>
      <c r="E60" s="35">
        <v>3.4</v>
      </c>
      <c r="F60" s="35">
        <v>239</v>
      </c>
      <c r="G60" s="35">
        <v>3.9</v>
      </c>
      <c r="H60" s="35">
        <v>254</v>
      </c>
      <c r="I60" s="35">
        <v>5.4</v>
      </c>
      <c r="J60" s="35">
        <v>297</v>
      </c>
    </row>
    <row r="61" spans="1:10" ht="14.45" customHeight="1" x14ac:dyDescent="0.25">
      <c r="A61" s="35" t="s">
        <v>234</v>
      </c>
      <c r="B61" s="35">
        <v>392</v>
      </c>
      <c r="C61" s="35">
        <v>-15</v>
      </c>
      <c r="D61" s="35">
        <v>-15</v>
      </c>
      <c r="E61" s="35">
        <v>3.3</v>
      </c>
      <c r="F61" s="35">
        <v>236</v>
      </c>
      <c r="G61" s="35">
        <v>3.8</v>
      </c>
      <c r="H61" s="35">
        <v>249</v>
      </c>
      <c r="I61" s="35">
        <v>5.2</v>
      </c>
      <c r="J61" s="35">
        <v>288</v>
      </c>
    </row>
    <row r="62" spans="1:10" ht="14.45" customHeight="1" x14ac:dyDescent="0.25">
      <c r="A62" s="35" t="s">
        <v>235</v>
      </c>
      <c r="B62" s="35">
        <v>220</v>
      </c>
      <c r="C62" s="35" t="s">
        <v>182</v>
      </c>
      <c r="D62" s="35">
        <v>-18</v>
      </c>
      <c r="E62" s="35">
        <v>2.7</v>
      </c>
      <c r="F62" s="35">
        <v>224</v>
      </c>
      <c r="G62" s="35">
        <v>3</v>
      </c>
      <c r="H62" s="35">
        <v>237</v>
      </c>
      <c r="I62" s="35">
        <v>4.3</v>
      </c>
      <c r="J62" s="35">
        <v>269</v>
      </c>
    </row>
    <row r="63" spans="1:10" ht="14.45" customHeight="1" x14ac:dyDescent="0.25">
      <c r="A63" s="35" t="s">
        <v>236</v>
      </c>
      <c r="B63" s="35">
        <v>447</v>
      </c>
      <c r="C63" s="35">
        <v>-15</v>
      </c>
      <c r="D63" s="35">
        <v>-15</v>
      </c>
      <c r="E63" s="35">
        <v>2.9</v>
      </c>
      <c r="F63" s="35">
        <v>235</v>
      </c>
      <c r="G63" s="35">
        <v>3.4</v>
      </c>
      <c r="H63" s="35">
        <v>248</v>
      </c>
      <c r="I63" s="35">
        <v>4.8</v>
      </c>
      <c r="J63" s="35">
        <v>286</v>
      </c>
    </row>
    <row r="64" spans="1:10" ht="14.45" customHeight="1" x14ac:dyDescent="0.25">
      <c r="A64" s="35" t="s">
        <v>237</v>
      </c>
      <c r="B64" s="35">
        <v>317</v>
      </c>
      <c r="C64" s="35" t="s">
        <v>189</v>
      </c>
      <c r="D64" s="35">
        <v>-15</v>
      </c>
      <c r="E64" s="35">
        <v>3</v>
      </c>
      <c r="F64" s="35">
        <v>230</v>
      </c>
      <c r="G64" s="35">
        <v>3.5</v>
      </c>
      <c r="H64" s="35">
        <v>242</v>
      </c>
      <c r="I64" s="35">
        <v>5.2</v>
      </c>
      <c r="J64" s="35">
        <v>277</v>
      </c>
    </row>
    <row r="65" spans="1:10" ht="14.45" customHeight="1" x14ac:dyDescent="0.25">
      <c r="A65" s="35" t="s">
        <v>238</v>
      </c>
      <c r="B65" s="35">
        <v>480</v>
      </c>
      <c r="C65" s="35">
        <v>-15</v>
      </c>
      <c r="D65" s="35">
        <v>-15</v>
      </c>
      <c r="E65" s="35">
        <v>3</v>
      </c>
      <c r="F65" s="35">
        <v>236</v>
      </c>
      <c r="G65" s="35">
        <v>3.5</v>
      </c>
      <c r="H65" s="35">
        <v>250</v>
      </c>
      <c r="I65" s="35">
        <v>5</v>
      </c>
      <c r="J65" s="35">
        <v>289</v>
      </c>
    </row>
    <row r="66" spans="1:10" ht="14.45" customHeight="1" x14ac:dyDescent="0.25">
      <c r="A66" s="35" t="s">
        <v>239</v>
      </c>
      <c r="B66" s="35">
        <v>496</v>
      </c>
      <c r="C66" s="35">
        <v>-15</v>
      </c>
      <c r="D66" s="35">
        <v>-15</v>
      </c>
      <c r="E66" s="35">
        <v>3.1</v>
      </c>
      <c r="F66" s="35">
        <v>237</v>
      </c>
      <c r="G66" s="35">
        <v>3.6</v>
      </c>
      <c r="H66" s="35">
        <v>250</v>
      </c>
      <c r="I66" s="35">
        <v>5</v>
      </c>
      <c r="J66" s="35">
        <v>289</v>
      </c>
    </row>
    <row r="67" spans="1:10" ht="14.45" customHeight="1" x14ac:dyDescent="0.25">
      <c r="A67" s="35" t="s">
        <v>240</v>
      </c>
      <c r="B67" s="35">
        <v>205</v>
      </c>
      <c r="C67" s="35" t="s">
        <v>180</v>
      </c>
      <c r="D67" s="35">
        <v>-12</v>
      </c>
      <c r="E67" s="35">
        <v>3.8</v>
      </c>
      <c r="F67" s="35">
        <v>221</v>
      </c>
      <c r="G67" s="35">
        <v>4.0999999999999996</v>
      </c>
      <c r="H67" s="35">
        <v>230</v>
      </c>
      <c r="I67" s="35">
        <v>5.3</v>
      </c>
      <c r="J67" s="35">
        <v>261</v>
      </c>
    </row>
    <row r="68" spans="1:10" ht="14.45" customHeight="1" x14ac:dyDescent="0.25">
      <c r="A68" s="35" t="s">
        <v>241</v>
      </c>
      <c r="B68" s="35">
        <v>428</v>
      </c>
      <c r="C68" s="35">
        <v>-18</v>
      </c>
      <c r="D68" s="35">
        <v>-18</v>
      </c>
      <c r="E68" s="35">
        <v>2.8</v>
      </c>
      <c r="F68" s="35">
        <v>242</v>
      </c>
      <c r="G68" s="35">
        <v>3.3</v>
      </c>
      <c r="H68" s="35">
        <v>257</v>
      </c>
      <c r="I68" s="35">
        <v>5</v>
      </c>
      <c r="J68" s="35">
        <v>298</v>
      </c>
    </row>
    <row r="69" spans="1:10" ht="14.45" customHeight="1" x14ac:dyDescent="0.25">
      <c r="A69" s="35" t="s">
        <v>242</v>
      </c>
      <c r="B69" s="35">
        <v>406</v>
      </c>
      <c r="C69" s="35">
        <v>-15</v>
      </c>
      <c r="D69" s="35">
        <v>-15</v>
      </c>
      <c r="E69" s="35">
        <v>2.5</v>
      </c>
      <c r="F69" s="35">
        <v>247</v>
      </c>
      <c r="G69" s="35">
        <v>3.1</v>
      </c>
      <c r="H69" s="35">
        <v>263</v>
      </c>
      <c r="I69" s="35">
        <v>4.5999999999999996</v>
      </c>
      <c r="J69" s="35">
        <v>306</v>
      </c>
    </row>
    <row r="70" spans="1:10" ht="14.45" customHeight="1" x14ac:dyDescent="0.25">
      <c r="A70" s="35" t="s">
        <v>243</v>
      </c>
      <c r="B70" s="35">
        <v>181</v>
      </c>
      <c r="C70" s="35" t="s">
        <v>180</v>
      </c>
      <c r="D70" s="35">
        <v>-12</v>
      </c>
      <c r="E70" s="35">
        <v>3.2</v>
      </c>
      <c r="F70" s="35">
        <v>222</v>
      </c>
      <c r="G70" s="35">
        <v>3.6</v>
      </c>
      <c r="H70" s="35">
        <v>233</v>
      </c>
      <c r="I70" s="35">
        <v>5</v>
      </c>
      <c r="J70" s="35">
        <v>266</v>
      </c>
    </row>
    <row r="71" spans="1:10" ht="14.45" customHeight="1" x14ac:dyDescent="0.25">
      <c r="A71" s="35" t="s">
        <v>244</v>
      </c>
      <c r="B71" s="35">
        <v>145</v>
      </c>
      <c r="C71" s="35" t="s">
        <v>180</v>
      </c>
      <c r="D71" s="35">
        <v>-12</v>
      </c>
      <c r="E71" s="35">
        <v>3.6</v>
      </c>
      <c r="F71" s="35">
        <v>221</v>
      </c>
      <c r="G71" s="35">
        <v>3.9</v>
      </c>
      <c r="H71" s="35">
        <v>229</v>
      </c>
      <c r="I71" s="35">
        <v>5</v>
      </c>
      <c r="J71" s="35">
        <v>256</v>
      </c>
    </row>
    <row r="72" spans="1:10" ht="14.45" customHeight="1" x14ac:dyDescent="0.25">
      <c r="A72" s="35" t="s">
        <v>245</v>
      </c>
      <c r="B72" s="35">
        <v>332</v>
      </c>
      <c r="C72" s="35" t="s">
        <v>189</v>
      </c>
      <c r="D72" s="35">
        <v>-15</v>
      </c>
      <c r="E72" s="35">
        <v>3.1</v>
      </c>
      <c r="F72" s="35">
        <v>238</v>
      </c>
      <c r="G72" s="35">
        <v>3.6</v>
      </c>
      <c r="H72" s="35">
        <v>251</v>
      </c>
      <c r="I72" s="35">
        <v>4.9000000000000004</v>
      </c>
      <c r="J72" s="35">
        <v>289</v>
      </c>
    </row>
    <row r="73" spans="1:10" ht="14.45" customHeight="1" x14ac:dyDescent="0.25">
      <c r="A73" s="35" t="s">
        <v>246</v>
      </c>
      <c r="B73" s="35">
        <v>346</v>
      </c>
      <c r="C73" s="35">
        <v>-15</v>
      </c>
      <c r="D73" s="35">
        <v>-15</v>
      </c>
      <c r="E73" s="35">
        <v>3.2</v>
      </c>
      <c r="F73" s="35">
        <v>225</v>
      </c>
      <c r="G73" s="35">
        <v>3.6</v>
      </c>
      <c r="H73" s="35">
        <v>236</v>
      </c>
      <c r="I73" s="35">
        <v>4.9000000000000004</v>
      </c>
      <c r="J73" s="35">
        <v>270</v>
      </c>
    </row>
    <row r="74" spans="1:10" ht="14.45" customHeight="1" x14ac:dyDescent="0.25">
      <c r="A74" s="35" t="s">
        <v>247</v>
      </c>
      <c r="B74" s="35">
        <v>245</v>
      </c>
      <c r="C74" s="35">
        <v>-12</v>
      </c>
      <c r="D74" s="35">
        <v>-12</v>
      </c>
      <c r="E74" s="35">
        <v>3.3</v>
      </c>
      <c r="F74" s="35">
        <v>219</v>
      </c>
      <c r="G74" s="35">
        <v>3.7</v>
      </c>
      <c r="H74" s="35">
        <v>229</v>
      </c>
      <c r="I74" s="35">
        <v>4.9000000000000004</v>
      </c>
      <c r="J74" s="35">
        <v>260</v>
      </c>
    </row>
    <row r="75" spans="1:10" ht="14.45" customHeight="1" x14ac:dyDescent="0.25">
      <c r="A75" s="35" t="s">
        <v>248</v>
      </c>
      <c r="B75" s="35">
        <v>234</v>
      </c>
      <c r="C75" s="35">
        <v>-12</v>
      </c>
      <c r="D75" s="35">
        <v>-12</v>
      </c>
      <c r="E75" s="35">
        <v>3.6</v>
      </c>
      <c r="F75" s="35">
        <v>216</v>
      </c>
      <c r="G75" s="35">
        <v>4</v>
      </c>
      <c r="H75" s="35">
        <v>226</v>
      </c>
      <c r="I75" s="35">
        <v>5.0999999999999996</v>
      </c>
      <c r="J75" s="35">
        <v>257</v>
      </c>
    </row>
    <row r="76" spans="1:10" ht="14.45" customHeight="1" x14ac:dyDescent="0.25">
      <c r="A76" s="35" t="s">
        <v>249</v>
      </c>
      <c r="B76" s="35">
        <v>289</v>
      </c>
      <c r="C76" s="35">
        <v>-12</v>
      </c>
      <c r="D76" s="35">
        <v>-12</v>
      </c>
      <c r="E76" s="35">
        <v>3.6</v>
      </c>
      <c r="F76" s="35">
        <v>217</v>
      </c>
      <c r="G76" s="35">
        <v>3.9</v>
      </c>
      <c r="H76" s="35">
        <v>226</v>
      </c>
      <c r="I76" s="35">
        <v>5.2</v>
      </c>
      <c r="J76" s="35">
        <v>256</v>
      </c>
    </row>
    <row r="77" spans="1:10" ht="14.45" customHeight="1" x14ac:dyDescent="0.25">
      <c r="A77" s="35" t="s">
        <v>250</v>
      </c>
      <c r="B77" s="35">
        <v>572</v>
      </c>
      <c r="C77" s="35">
        <v>-15</v>
      </c>
      <c r="D77" s="35">
        <v>-15</v>
      </c>
      <c r="E77" s="35">
        <v>2.4</v>
      </c>
      <c r="F77" s="35">
        <v>252</v>
      </c>
      <c r="G77" s="35">
        <v>3.1</v>
      </c>
      <c r="H77" s="35">
        <v>270</v>
      </c>
      <c r="I77" s="35">
        <v>4.7</v>
      </c>
      <c r="J77" s="35">
        <v>318</v>
      </c>
    </row>
  </sheetData>
  <mergeCells count="5">
    <mergeCell ref="A1:A5"/>
    <mergeCell ref="E1:J2"/>
    <mergeCell ref="E3:F3"/>
    <mergeCell ref="G3:H3"/>
    <mergeCell ref="I3:J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AA65-8733-4C50-8460-3DB4E245FAA6}">
  <dimension ref="A1:Z168"/>
  <sheetViews>
    <sheetView topLeftCell="A88" workbookViewId="0">
      <selection activeCell="O109" sqref="O109"/>
    </sheetView>
  </sheetViews>
  <sheetFormatPr defaultRowHeight="15" x14ac:dyDescent="0.25"/>
  <cols>
    <col min="1" max="1" width="10.85546875" customWidth="1"/>
  </cols>
  <sheetData>
    <row r="1" spans="1:26" x14ac:dyDescent="0.25">
      <c r="A1" t="s">
        <v>145</v>
      </c>
    </row>
    <row r="2" spans="1:26" x14ac:dyDescent="0.25">
      <c r="A2" t="s">
        <v>146</v>
      </c>
    </row>
    <row r="4" spans="1:26" x14ac:dyDescent="0.25">
      <c r="A4" t="s">
        <v>147</v>
      </c>
      <c r="B4" t="s">
        <v>148</v>
      </c>
      <c r="C4" t="s">
        <v>149</v>
      </c>
      <c r="D4" t="s">
        <v>150</v>
      </c>
      <c r="E4" t="s">
        <v>151</v>
      </c>
      <c r="F4" t="s">
        <v>152</v>
      </c>
    </row>
    <row r="5" spans="1:26" x14ac:dyDescent="0.25">
      <c r="A5">
        <v>-12</v>
      </c>
      <c r="B5" s="2">
        <v>3.91</v>
      </c>
      <c r="C5" s="2">
        <v>5.3574999999999999</v>
      </c>
      <c r="D5" s="2">
        <v>7.3174999999999999</v>
      </c>
      <c r="E5" s="2">
        <v>9.1999999999999993</v>
      </c>
      <c r="F5" s="2">
        <v>11.223749999999999</v>
      </c>
      <c r="J5" s="49" t="s">
        <v>363</v>
      </c>
      <c r="N5" s="50" t="s">
        <v>364</v>
      </c>
      <c r="O5" s="50" t="s">
        <v>365</v>
      </c>
      <c r="U5" s="49" t="s">
        <v>366</v>
      </c>
    </row>
    <row r="6" spans="1:26" x14ac:dyDescent="0.25">
      <c r="A6">
        <v>-7</v>
      </c>
      <c r="B6" s="2">
        <v>4.51</v>
      </c>
      <c r="C6" s="2">
        <v>6.17</v>
      </c>
      <c r="D6" s="2">
        <v>8.43</v>
      </c>
      <c r="E6" s="2">
        <v>10.6</v>
      </c>
      <c r="F6" s="2">
        <v>12.93</v>
      </c>
    </row>
    <row r="7" spans="1:26" x14ac:dyDescent="0.25">
      <c r="A7">
        <v>2</v>
      </c>
      <c r="B7" s="2">
        <v>5.5787499999999994</v>
      </c>
      <c r="C7" s="2">
        <v>7.6325000000000003</v>
      </c>
      <c r="D7" s="2">
        <v>10.673571428571428</v>
      </c>
      <c r="E7" s="2">
        <v>13.120000000000001</v>
      </c>
      <c r="F7" s="2">
        <v>16.001249999999999</v>
      </c>
      <c r="J7" s="51" t="s">
        <v>145</v>
      </c>
      <c r="U7" s="51" t="s">
        <v>145</v>
      </c>
    </row>
    <row r="8" spans="1:26" x14ac:dyDescent="0.25">
      <c r="A8">
        <v>7</v>
      </c>
      <c r="B8" s="2">
        <v>6.1724999999999994</v>
      </c>
      <c r="C8" s="2">
        <v>8.4450000000000003</v>
      </c>
      <c r="D8" s="2">
        <v>11.92</v>
      </c>
      <c r="E8" s="2">
        <v>14.52</v>
      </c>
      <c r="F8" s="2">
        <v>17.7075</v>
      </c>
    </row>
    <row r="9" spans="1:26" x14ac:dyDescent="0.25">
      <c r="A9">
        <v>12</v>
      </c>
      <c r="B9" s="2">
        <v>6.7662499999999994</v>
      </c>
      <c r="C9" s="2">
        <v>9.2575000000000003</v>
      </c>
      <c r="D9" s="2">
        <v>13.166428571428572</v>
      </c>
      <c r="E9" s="2">
        <v>15.92</v>
      </c>
      <c r="F9" s="2">
        <v>19.41375</v>
      </c>
      <c r="J9" s="52" t="s">
        <v>147</v>
      </c>
      <c r="K9" s="53" t="s">
        <v>148</v>
      </c>
      <c r="L9" s="53" t="s">
        <v>373</v>
      </c>
      <c r="M9" s="53" t="s">
        <v>374</v>
      </c>
      <c r="N9" s="53" t="s">
        <v>151</v>
      </c>
      <c r="O9" s="53" t="s">
        <v>152</v>
      </c>
      <c r="U9" s="52" t="s">
        <v>147</v>
      </c>
      <c r="V9" s="53" t="s">
        <v>148</v>
      </c>
      <c r="W9" s="53" t="s">
        <v>373</v>
      </c>
      <c r="X9" s="53" t="s">
        <v>374</v>
      </c>
      <c r="Y9" s="53" t="s">
        <v>151</v>
      </c>
      <c r="Z9" s="53" t="s">
        <v>152</v>
      </c>
    </row>
    <row r="10" spans="1:26" x14ac:dyDescent="0.25">
      <c r="J10">
        <v>-20</v>
      </c>
      <c r="K10" s="54">
        <v>2.9662500000000005</v>
      </c>
      <c r="L10" s="2">
        <v>4.0575000000000001</v>
      </c>
      <c r="M10" s="2">
        <v>5.5375000000000005</v>
      </c>
      <c r="N10" s="2">
        <v>6.9599999999999991</v>
      </c>
      <c r="O10" s="2">
        <v>8.4937499999999986</v>
      </c>
      <c r="U10">
        <v>-20</v>
      </c>
      <c r="V10" s="54">
        <v>2.1925000000000003</v>
      </c>
      <c r="W10" s="2">
        <v>2.2025000000000001</v>
      </c>
      <c r="X10" s="2">
        <v>2.2862499999999999</v>
      </c>
      <c r="Y10" s="2">
        <v>2.0949999999999998</v>
      </c>
      <c r="Z10" s="2">
        <v>2.105</v>
      </c>
    </row>
    <row r="11" spans="1:26" x14ac:dyDescent="0.25">
      <c r="A11" t="s">
        <v>45</v>
      </c>
      <c r="J11">
        <v>-19</v>
      </c>
      <c r="K11" s="55">
        <v>3.085</v>
      </c>
      <c r="L11" s="2">
        <v>4.2200000000000006</v>
      </c>
      <c r="M11" s="2">
        <v>5.7600000000000007</v>
      </c>
      <c r="N11" s="2">
        <v>7.2399999999999993</v>
      </c>
      <c r="O11" s="2">
        <v>8.8349999999999991</v>
      </c>
      <c r="U11">
        <v>-19</v>
      </c>
      <c r="V11" s="55">
        <v>2.2400000000000002</v>
      </c>
      <c r="W11" s="2">
        <v>2.25</v>
      </c>
      <c r="X11" s="2">
        <v>2.335</v>
      </c>
      <c r="Y11" s="2">
        <v>2.1399999999999997</v>
      </c>
      <c r="Z11" s="2">
        <v>2.1500000000000004</v>
      </c>
    </row>
    <row r="12" spans="1:26" x14ac:dyDescent="0.25">
      <c r="J12">
        <v>-18</v>
      </c>
      <c r="K12" s="55">
        <v>3.2037500000000003</v>
      </c>
      <c r="L12" s="2">
        <v>4.3825000000000003</v>
      </c>
      <c r="M12" s="2">
        <v>5.9825000000000008</v>
      </c>
      <c r="N12" s="2">
        <v>7.52</v>
      </c>
      <c r="O12" s="2">
        <v>9.1762499999999996</v>
      </c>
      <c r="U12">
        <v>-18</v>
      </c>
      <c r="V12" s="55">
        <v>2.2875000000000001</v>
      </c>
      <c r="W12" s="2">
        <v>2.2974999999999999</v>
      </c>
      <c r="X12" s="2">
        <v>2.3837499999999996</v>
      </c>
      <c r="Y12" s="2">
        <v>2.1849999999999996</v>
      </c>
      <c r="Z12" s="2">
        <v>2.1950000000000003</v>
      </c>
    </row>
    <row r="13" spans="1:26" x14ac:dyDescent="0.25">
      <c r="A13" t="s">
        <v>147</v>
      </c>
      <c r="B13" t="s">
        <v>148</v>
      </c>
      <c r="C13" t="s">
        <v>149</v>
      </c>
      <c r="D13" t="s">
        <v>150</v>
      </c>
      <c r="E13" t="s">
        <v>151</v>
      </c>
      <c r="F13" t="s">
        <v>152</v>
      </c>
      <c r="J13">
        <v>-17</v>
      </c>
      <c r="K13" s="55">
        <v>3.3225000000000002</v>
      </c>
      <c r="L13" s="2">
        <v>4.5449999999999999</v>
      </c>
      <c r="M13" s="2">
        <v>6.2050000000000001</v>
      </c>
      <c r="N13" s="2">
        <v>7.7999999999999989</v>
      </c>
      <c r="O13" s="2">
        <v>9.5174999999999983</v>
      </c>
      <c r="U13">
        <v>-17</v>
      </c>
      <c r="V13" s="55">
        <v>2.335</v>
      </c>
      <c r="W13" s="2">
        <v>2.3449999999999998</v>
      </c>
      <c r="X13" s="2">
        <v>2.4324999999999997</v>
      </c>
      <c r="Y13" s="2">
        <v>2.2299999999999995</v>
      </c>
      <c r="Z13" s="2">
        <v>2.2400000000000002</v>
      </c>
    </row>
    <row r="14" spans="1:26" x14ac:dyDescent="0.25">
      <c r="A14">
        <v>-12</v>
      </c>
      <c r="B14" s="2">
        <v>3.8387500000000001</v>
      </c>
      <c r="C14" s="2">
        <v>5.1187500000000004</v>
      </c>
      <c r="D14" s="2">
        <v>7.23</v>
      </c>
      <c r="E14" s="2">
        <v>9.1224999999999987</v>
      </c>
      <c r="F14" s="2">
        <v>10.38875</v>
      </c>
      <c r="J14">
        <v>-16</v>
      </c>
      <c r="K14" s="55">
        <v>3.4412500000000001</v>
      </c>
      <c r="L14" s="2">
        <v>4.7075000000000005</v>
      </c>
      <c r="M14" s="2">
        <v>6.4275000000000002</v>
      </c>
      <c r="N14" s="2">
        <v>8.08</v>
      </c>
      <c r="O14" s="2">
        <v>9.8587499999999988</v>
      </c>
      <c r="U14">
        <v>-16</v>
      </c>
      <c r="V14" s="55">
        <v>2.3825000000000003</v>
      </c>
      <c r="W14" s="2">
        <v>2.3925000000000001</v>
      </c>
      <c r="X14" s="2">
        <v>2.4812499999999997</v>
      </c>
      <c r="Y14" s="2">
        <v>2.2749999999999999</v>
      </c>
      <c r="Z14" s="2">
        <v>2.2850000000000001</v>
      </c>
    </row>
    <row r="15" spans="1:26" x14ac:dyDescent="0.25">
      <c r="A15">
        <v>-7</v>
      </c>
      <c r="B15" s="2">
        <v>4.42</v>
      </c>
      <c r="C15" s="2">
        <v>5.9</v>
      </c>
      <c r="D15" s="2">
        <v>8.33</v>
      </c>
      <c r="E15" s="2">
        <v>10.51</v>
      </c>
      <c r="F15" s="2">
        <v>11.97</v>
      </c>
      <c r="J15">
        <v>-15</v>
      </c>
      <c r="K15" s="55">
        <v>3.56</v>
      </c>
      <c r="L15" s="2">
        <v>4.87</v>
      </c>
      <c r="M15" s="2">
        <v>6.65</v>
      </c>
      <c r="N15" s="2">
        <v>8.36</v>
      </c>
      <c r="O15" s="2">
        <v>10.199999999999999</v>
      </c>
      <c r="U15">
        <v>-15</v>
      </c>
      <c r="V15" s="55">
        <v>2.4300000000000002</v>
      </c>
      <c r="W15" s="2">
        <v>2.44</v>
      </c>
      <c r="X15" s="2">
        <v>2.5299999999999998</v>
      </c>
      <c r="Y15" s="2">
        <v>2.3199999999999998</v>
      </c>
      <c r="Z15" s="2">
        <v>2.33</v>
      </c>
    </row>
    <row r="16" spans="1:26" x14ac:dyDescent="0.25">
      <c r="A16">
        <v>2</v>
      </c>
      <c r="B16" s="2">
        <v>5.4662499999999996</v>
      </c>
      <c r="C16" s="2">
        <v>7.3062500000000004</v>
      </c>
      <c r="D16" s="2">
        <v>10.547857142857143</v>
      </c>
      <c r="E16" s="2">
        <v>13.0075</v>
      </c>
      <c r="F16" s="2">
        <v>14.816250000000002</v>
      </c>
      <c r="J16">
        <v>-14</v>
      </c>
      <c r="K16" s="55">
        <v>3.67875</v>
      </c>
      <c r="L16" s="2">
        <v>5.0324999999999998</v>
      </c>
      <c r="M16" s="2">
        <v>6.8725000000000005</v>
      </c>
      <c r="N16" s="2">
        <v>8.6399999999999988</v>
      </c>
      <c r="O16" s="2">
        <v>10.54125</v>
      </c>
      <c r="U16">
        <v>-14</v>
      </c>
      <c r="V16" s="55">
        <v>2.4775</v>
      </c>
      <c r="W16" s="2">
        <v>2.4874999999999998</v>
      </c>
      <c r="X16" s="2">
        <v>2.5787499999999999</v>
      </c>
      <c r="Y16" s="2">
        <v>2.3649999999999998</v>
      </c>
      <c r="Z16" s="2">
        <v>2.375</v>
      </c>
    </row>
    <row r="17" spans="1:26" x14ac:dyDescent="0.25">
      <c r="A17">
        <v>7</v>
      </c>
      <c r="B17" s="2">
        <v>6.0474999999999994</v>
      </c>
      <c r="C17" s="2">
        <v>8.0875000000000004</v>
      </c>
      <c r="D17" s="2">
        <v>11.78</v>
      </c>
      <c r="E17" s="2">
        <v>14.395000000000001</v>
      </c>
      <c r="F17" s="2">
        <v>16.397500000000001</v>
      </c>
      <c r="J17">
        <v>-13</v>
      </c>
      <c r="K17" s="55">
        <v>3.7974999999999999</v>
      </c>
      <c r="L17" s="2">
        <v>5.1950000000000003</v>
      </c>
      <c r="M17" s="2">
        <v>7.0950000000000006</v>
      </c>
      <c r="N17" s="2">
        <v>8.92</v>
      </c>
      <c r="O17" s="2">
        <v>10.8825</v>
      </c>
      <c r="U17">
        <v>-13</v>
      </c>
      <c r="V17" s="55">
        <v>2.5250000000000004</v>
      </c>
      <c r="W17" s="2">
        <v>2.5350000000000001</v>
      </c>
      <c r="X17" s="2">
        <v>2.6274999999999999</v>
      </c>
      <c r="Y17" s="2">
        <v>2.41</v>
      </c>
      <c r="Z17" s="2">
        <v>2.42</v>
      </c>
    </row>
    <row r="18" spans="1:26" x14ac:dyDescent="0.25">
      <c r="A18">
        <v>12</v>
      </c>
      <c r="B18" s="2">
        <v>6.6287499999999993</v>
      </c>
      <c r="C18" s="2">
        <v>8.8687500000000004</v>
      </c>
      <c r="D18" s="2">
        <v>13.012142857142855</v>
      </c>
      <c r="E18" s="2">
        <v>15.782500000000002</v>
      </c>
      <c r="F18" s="2">
        <v>17.978750000000005</v>
      </c>
      <c r="J18">
        <v>-12</v>
      </c>
      <c r="K18" s="55">
        <v>3.9162499999999998</v>
      </c>
      <c r="L18" s="2">
        <v>5.3574999999999999</v>
      </c>
      <c r="M18" s="2">
        <v>7.3174999999999999</v>
      </c>
      <c r="N18" s="2">
        <v>9.1999999999999993</v>
      </c>
      <c r="O18" s="2">
        <v>11.223749999999999</v>
      </c>
      <c r="U18">
        <v>-12</v>
      </c>
      <c r="V18" s="55">
        <v>2.5725000000000002</v>
      </c>
      <c r="W18" s="2">
        <v>2.5825</v>
      </c>
      <c r="X18" s="2">
        <v>2.67625</v>
      </c>
      <c r="Y18" s="2">
        <v>2.4550000000000001</v>
      </c>
      <c r="Z18" s="2">
        <v>2.4649999999999999</v>
      </c>
    </row>
    <row r="19" spans="1:26" x14ac:dyDescent="0.25">
      <c r="J19">
        <v>-11</v>
      </c>
      <c r="K19" s="55">
        <v>4.0350000000000001</v>
      </c>
      <c r="L19" s="2">
        <v>5.52</v>
      </c>
      <c r="M19" s="2">
        <v>7.54</v>
      </c>
      <c r="N19" s="2">
        <v>9.48</v>
      </c>
      <c r="O19" s="2">
        <v>11.565</v>
      </c>
      <c r="U19">
        <v>-11</v>
      </c>
      <c r="V19" s="55">
        <v>2.62</v>
      </c>
      <c r="W19" s="2">
        <v>2.63</v>
      </c>
      <c r="X19" s="2">
        <v>2.7249999999999996</v>
      </c>
      <c r="Y19" s="2">
        <v>2.5</v>
      </c>
      <c r="Z19" s="2">
        <v>2.5099999999999998</v>
      </c>
    </row>
    <row r="20" spans="1:26" x14ac:dyDescent="0.25">
      <c r="A20" t="s">
        <v>153</v>
      </c>
      <c r="J20">
        <v>-10</v>
      </c>
      <c r="K20" s="55">
        <v>4.1537499999999996</v>
      </c>
      <c r="L20" s="2">
        <v>5.6825000000000001</v>
      </c>
      <c r="M20" s="2">
        <v>7.7625000000000002</v>
      </c>
      <c r="N20" s="2">
        <v>9.76</v>
      </c>
      <c r="O20" s="2">
        <v>11.90625</v>
      </c>
      <c r="U20">
        <v>-10</v>
      </c>
      <c r="V20" s="55">
        <v>2.6675</v>
      </c>
      <c r="W20" s="2">
        <v>2.6774999999999998</v>
      </c>
      <c r="X20" s="2">
        <v>2.7737499999999997</v>
      </c>
      <c r="Y20" s="2">
        <v>2.5449999999999999</v>
      </c>
      <c r="Z20" s="2">
        <v>2.5550000000000002</v>
      </c>
    </row>
    <row r="21" spans="1:26" x14ac:dyDescent="0.25">
      <c r="J21">
        <v>-9</v>
      </c>
      <c r="K21" s="55">
        <v>4.2725</v>
      </c>
      <c r="L21" s="2">
        <v>5.8449999999999998</v>
      </c>
      <c r="M21" s="2">
        <v>7.9849999999999994</v>
      </c>
      <c r="N21" s="2">
        <v>10.039999999999999</v>
      </c>
      <c r="O21" s="2">
        <v>12.247499999999999</v>
      </c>
      <c r="U21">
        <v>-9</v>
      </c>
      <c r="V21" s="55">
        <v>2.7149999999999999</v>
      </c>
      <c r="W21" s="2">
        <v>2.7249999999999996</v>
      </c>
      <c r="X21" s="2">
        <v>2.8224999999999998</v>
      </c>
      <c r="Y21" s="2">
        <v>2.59</v>
      </c>
      <c r="Z21" s="2">
        <v>2.6</v>
      </c>
    </row>
    <row r="22" spans="1:26" x14ac:dyDescent="0.25">
      <c r="A22" t="s">
        <v>147</v>
      </c>
      <c r="B22" t="s">
        <v>148</v>
      </c>
      <c r="C22" t="s">
        <v>149</v>
      </c>
      <c r="D22" t="s">
        <v>150</v>
      </c>
      <c r="E22" t="s">
        <v>151</v>
      </c>
      <c r="F22" t="s">
        <v>152</v>
      </c>
      <c r="J22">
        <v>-8</v>
      </c>
      <c r="K22" s="55">
        <v>4.3912499999999994</v>
      </c>
      <c r="L22" s="2">
        <v>6.0075000000000003</v>
      </c>
      <c r="M22" s="2">
        <v>8.2074999999999996</v>
      </c>
      <c r="N22" s="2">
        <v>10.32</v>
      </c>
      <c r="O22" s="2">
        <v>12.588749999999999</v>
      </c>
      <c r="U22">
        <v>-8</v>
      </c>
      <c r="V22" s="55">
        <v>2.7625000000000002</v>
      </c>
      <c r="W22" s="2">
        <v>2.7725</v>
      </c>
      <c r="X22" s="2">
        <v>2.8712499999999999</v>
      </c>
      <c r="Y22" s="2">
        <v>2.6350000000000002</v>
      </c>
      <c r="Z22" s="2">
        <v>2.645</v>
      </c>
    </row>
    <row r="23" spans="1:26" x14ac:dyDescent="0.25">
      <c r="A23">
        <v>-12</v>
      </c>
      <c r="B23" s="2">
        <v>3.63</v>
      </c>
      <c r="C23" s="2">
        <v>4.5362499999999999</v>
      </c>
      <c r="D23" s="2">
        <v>6.0075000000000003</v>
      </c>
      <c r="E23" s="2">
        <v>8.5399999999999991</v>
      </c>
      <c r="F23" s="2">
        <v>9.2675000000000001</v>
      </c>
      <c r="J23">
        <v>-7</v>
      </c>
      <c r="K23" s="55">
        <v>4.51</v>
      </c>
      <c r="L23" s="2">
        <v>6.17</v>
      </c>
      <c r="M23" s="2">
        <v>8.43</v>
      </c>
      <c r="N23" s="2">
        <v>10.6</v>
      </c>
      <c r="O23" s="2">
        <v>12.93</v>
      </c>
      <c r="U23">
        <v>-7</v>
      </c>
      <c r="V23" s="55">
        <v>2.81</v>
      </c>
      <c r="W23" s="2">
        <v>2.82</v>
      </c>
      <c r="X23" s="2">
        <v>2.92</v>
      </c>
      <c r="Y23" s="2">
        <v>2.68</v>
      </c>
      <c r="Z23" s="2">
        <v>2.69</v>
      </c>
    </row>
    <row r="24" spans="1:26" x14ac:dyDescent="0.25">
      <c r="A24">
        <v>-7</v>
      </c>
      <c r="B24" s="2">
        <v>4.18</v>
      </c>
      <c r="C24" s="2">
        <v>5.23</v>
      </c>
      <c r="D24" s="2">
        <v>6.92</v>
      </c>
      <c r="E24" s="2">
        <v>9.84</v>
      </c>
      <c r="F24" s="2">
        <v>10.68</v>
      </c>
      <c r="J24">
        <v>-6</v>
      </c>
      <c r="K24" s="55">
        <v>4.6287500000000001</v>
      </c>
      <c r="L24" s="2">
        <v>6.3324999999999996</v>
      </c>
      <c r="M24" s="2">
        <v>8.6792857142857134</v>
      </c>
      <c r="N24" s="2">
        <v>10.879999999999999</v>
      </c>
      <c r="O24" s="2">
        <v>13.27125</v>
      </c>
      <c r="U24">
        <v>-6</v>
      </c>
      <c r="V24" s="55">
        <v>2.8574999999999999</v>
      </c>
      <c r="W24" s="2">
        <v>2.8674999999999997</v>
      </c>
      <c r="X24" s="2">
        <v>2.9578571428571427</v>
      </c>
      <c r="Y24" s="2">
        <v>2.7250000000000001</v>
      </c>
      <c r="Z24" s="2">
        <v>2.7349999999999999</v>
      </c>
    </row>
    <row r="25" spans="1:26" x14ac:dyDescent="0.25">
      <c r="A25">
        <v>2</v>
      </c>
      <c r="B25" s="2">
        <v>5.17</v>
      </c>
      <c r="C25" s="2">
        <v>6.4787500000000007</v>
      </c>
      <c r="D25" s="2">
        <v>8.8357142857142854</v>
      </c>
      <c r="E25" s="2">
        <v>12.18</v>
      </c>
      <c r="F25" s="2">
        <v>13.2225</v>
      </c>
      <c r="J25">
        <v>-5</v>
      </c>
      <c r="K25" s="55">
        <v>4.7474999999999996</v>
      </c>
      <c r="L25" s="2">
        <v>6.4950000000000001</v>
      </c>
      <c r="M25" s="2">
        <v>8.9285714285714288</v>
      </c>
      <c r="N25" s="2">
        <v>11.16</v>
      </c>
      <c r="O25" s="2">
        <v>13.612500000000001</v>
      </c>
      <c r="U25">
        <v>-5</v>
      </c>
      <c r="V25" s="55">
        <v>2.9050000000000002</v>
      </c>
      <c r="W25" s="2">
        <v>2.915</v>
      </c>
      <c r="X25" s="2">
        <v>2.9957142857142856</v>
      </c>
      <c r="Y25" s="2">
        <v>2.7700000000000005</v>
      </c>
      <c r="Z25" s="2">
        <v>2.78</v>
      </c>
    </row>
    <row r="26" spans="1:26" x14ac:dyDescent="0.25">
      <c r="A26">
        <v>7</v>
      </c>
      <c r="B26" s="2">
        <v>5.72</v>
      </c>
      <c r="C26" s="2">
        <v>7.1725000000000012</v>
      </c>
      <c r="D26" s="2">
        <v>9.9</v>
      </c>
      <c r="E26" s="2">
        <v>13.48</v>
      </c>
      <c r="F26" s="2">
        <v>14.635</v>
      </c>
      <c r="J26">
        <v>-4</v>
      </c>
      <c r="K26" s="55">
        <v>4.86625</v>
      </c>
      <c r="L26" s="2">
        <v>6.6574999999999998</v>
      </c>
      <c r="M26" s="2">
        <v>9.1778571428571425</v>
      </c>
      <c r="N26" s="2">
        <v>11.44</v>
      </c>
      <c r="O26" s="2">
        <v>13.953749999999999</v>
      </c>
      <c r="U26">
        <v>-4</v>
      </c>
      <c r="V26" s="55">
        <v>2.9525000000000001</v>
      </c>
      <c r="W26" s="2">
        <v>2.9624999999999999</v>
      </c>
      <c r="X26" s="2">
        <v>3.0335714285714284</v>
      </c>
      <c r="Y26" s="2">
        <v>2.8150000000000004</v>
      </c>
      <c r="Z26" s="2">
        <v>2.8249999999999997</v>
      </c>
    </row>
    <row r="27" spans="1:26" x14ac:dyDescent="0.25">
      <c r="A27">
        <v>12</v>
      </c>
      <c r="B27" s="2">
        <v>6.27</v>
      </c>
      <c r="C27" s="2">
        <v>7.8662500000000009</v>
      </c>
      <c r="D27" s="2">
        <v>10.964285714285715</v>
      </c>
      <c r="E27" s="2">
        <v>14.780000000000001</v>
      </c>
      <c r="F27" s="2">
        <v>16.047499999999999</v>
      </c>
      <c r="J27">
        <v>-3</v>
      </c>
      <c r="K27" s="55">
        <v>4.9849999999999994</v>
      </c>
      <c r="L27" s="2">
        <v>6.82</v>
      </c>
      <c r="M27" s="2">
        <v>9.4271428571428562</v>
      </c>
      <c r="N27" s="2">
        <v>11.719999999999999</v>
      </c>
      <c r="O27" s="2">
        <v>14.295</v>
      </c>
      <c r="U27">
        <v>-3</v>
      </c>
      <c r="V27" s="55">
        <v>3</v>
      </c>
      <c r="W27" s="2">
        <v>3.01</v>
      </c>
      <c r="X27" s="2">
        <v>3.0714285714285716</v>
      </c>
      <c r="Y27" s="2">
        <v>2.8600000000000003</v>
      </c>
      <c r="Z27" s="2">
        <v>2.87</v>
      </c>
    </row>
    <row r="28" spans="1:26" x14ac:dyDescent="0.25">
      <c r="J28">
        <v>-2</v>
      </c>
      <c r="K28" s="55">
        <v>5.1037499999999998</v>
      </c>
      <c r="L28" s="2">
        <v>6.9824999999999999</v>
      </c>
      <c r="M28" s="2">
        <v>9.6764285714285716</v>
      </c>
      <c r="N28" s="2">
        <v>12</v>
      </c>
      <c r="O28" s="2">
        <v>14.63625</v>
      </c>
      <c r="U28">
        <v>-2</v>
      </c>
      <c r="V28" s="55">
        <v>3.0474999999999999</v>
      </c>
      <c r="W28" s="2">
        <v>3.0574999999999997</v>
      </c>
      <c r="X28" s="2">
        <v>3.1092857142857144</v>
      </c>
      <c r="Y28" s="2">
        <v>2.9050000000000002</v>
      </c>
      <c r="Z28" s="2">
        <v>2.915</v>
      </c>
    </row>
    <row r="29" spans="1:26" x14ac:dyDescent="0.25">
      <c r="J29">
        <v>-1</v>
      </c>
      <c r="K29" s="55">
        <v>5.2225000000000001</v>
      </c>
      <c r="L29" s="2">
        <v>7.1449999999999996</v>
      </c>
      <c r="M29" s="2">
        <v>9.9257142857142853</v>
      </c>
      <c r="N29" s="2">
        <v>12.28</v>
      </c>
      <c r="O29" s="2">
        <v>14.977499999999999</v>
      </c>
      <c r="U29">
        <v>-1</v>
      </c>
      <c r="V29" s="55">
        <v>3.0949999999999998</v>
      </c>
      <c r="W29" s="2">
        <v>3.1049999999999995</v>
      </c>
      <c r="X29" s="2">
        <v>3.1471428571428572</v>
      </c>
      <c r="Y29" s="2">
        <v>2.95</v>
      </c>
      <c r="Z29" s="2">
        <v>2.96</v>
      </c>
    </row>
    <row r="30" spans="1:26" x14ac:dyDescent="0.25">
      <c r="A30" t="s">
        <v>372</v>
      </c>
      <c r="J30">
        <v>0</v>
      </c>
      <c r="K30" s="55">
        <v>5.3412499999999996</v>
      </c>
      <c r="L30" s="2">
        <v>7.3074999999999992</v>
      </c>
      <c r="M30" s="2">
        <v>10.174999999999999</v>
      </c>
      <c r="N30" s="2">
        <v>12.559999999999999</v>
      </c>
      <c r="O30" s="2">
        <v>15.31875</v>
      </c>
      <c r="U30">
        <v>0</v>
      </c>
      <c r="V30" s="55">
        <v>3.1425000000000001</v>
      </c>
      <c r="W30" s="2">
        <v>3.1524999999999999</v>
      </c>
      <c r="X30" s="2">
        <v>3.1850000000000001</v>
      </c>
      <c r="Y30" s="2">
        <v>2.9950000000000006</v>
      </c>
      <c r="Z30" s="2">
        <v>3.0049999999999999</v>
      </c>
    </row>
    <row r="31" spans="1:26" x14ac:dyDescent="0.25">
      <c r="J31">
        <v>1</v>
      </c>
      <c r="K31" s="55">
        <v>5.4599999999999991</v>
      </c>
      <c r="L31" s="2">
        <v>7.47</v>
      </c>
      <c r="M31" s="2">
        <v>10.424285714285714</v>
      </c>
      <c r="N31" s="2">
        <v>12.84</v>
      </c>
      <c r="O31" s="2">
        <v>15.66</v>
      </c>
      <c r="U31">
        <v>1</v>
      </c>
      <c r="V31" s="55">
        <v>3.19</v>
      </c>
      <c r="W31" s="2">
        <v>3.1999999999999997</v>
      </c>
      <c r="X31" s="2">
        <v>3.2228571428571429</v>
      </c>
      <c r="Y31" s="2">
        <v>3.0400000000000005</v>
      </c>
      <c r="Z31" s="2">
        <v>3.05</v>
      </c>
    </row>
    <row r="32" spans="1:26" x14ac:dyDescent="0.25">
      <c r="A32" t="s">
        <v>145</v>
      </c>
      <c r="C32" s="2"/>
      <c r="J32">
        <v>2</v>
      </c>
      <c r="K32" s="55">
        <v>5.5787499999999994</v>
      </c>
      <c r="L32" s="2">
        <v>7.6325000000000003</v>
      </c>
      <c r="M32" s="2">
        <v>10.673571428571428</v>
      </c>
      <c r="N32" s="2">
        <v>13.120000000000001</v>
      </c>
      <c r="O32" s="2">
        <v>16.001249999999999</v>
      </c>
      <c r="U32">
        <v>2</v>
      </c>
      <c r="V32" s="55">
        <v>3.2374999999999998</v>
      </c>
      <c r="W32" s="2">
        <v>3.2474999999999996</v>
      </c>
      <c r="X32" s="2">
        <v>3.2607142857142857</v>
      </c>
      <c r="Y32" s="2">
        <v>3.0850000000000004</v>
      </c>
      <c r="Z32" s="2">
        <v>3.0949999999999998</v>
      </c>
    </row>
    <row r="33" spans="1:26" x14ac:dyDescent="0.25">
      <c r="C33" s="2"/>
      <c r="J33">
        <v>3</v>
      </c>
      <c r="K33" s="55">
        <v>5.6974999999999998</v>
      </c>
      <c r="L33" s="2">
        <v>7.7949999999999999</v>
      </c>
      <c r="M33" s="2">
        <v>10.922857142857143</v>
      </c>
      <c r="N33" s="2">
        <v>13.4</v>
      </c>
      <c r="O33" s="2">
        <v>16.342500000000001</v>
      </c>
      <c r="U33">
        <v>3</v>
      </c>
      <c r="V33" s="55">
        <v>3.2850000000000001</v>
      </c>
      <c r="W33" s="2">
        <v>3.2949999999999999</v>
      </c>
      <c r="X33" s="2">
        <v>3.2985714285714285</v>
      </c>
      <c r="Y33" s="2">
        <v>3.1300000000000008</v>
      </c>
      <c r="Z33" s="2">
        <v>3.1399999999999997</v>
      </c>
    </row>
    <row r="34" spans="1:26" x14ac:dyDescent="0.25">
      <c r="A34" t="s">
        <v>147</v>
      </c>
      <c r="C34" t="s">
        <v>148</v>
      </c>
      <c r="E34">
        <v>2</v>
      </c>
      <c r="J34">
        <v>4</v>
      </c>
      <c r="K34" s="55">
        <v>5.8162499999999993</v>
      </c>
      <c r="L34" s="2">
        <v>7.9574999999999996</v>
      </c>
      <c r="M34" s="2">
        <v>11.172142857142857</v>
      </c>
      <c r="N34" s="2">
        <v>13.68</v>
      </c>
      <c r="O34" s="2">
        <v>16.68375</v>
      </c>
      <c r="U34">
        <v>4</v>
      </c>
      <c r="V34" s="55">
        <v>3.3325</v>
      </c>
      <c r="W34" s="2">
        <v>3.3424999999999998</v>
      </c>
      <c r="X34" s="2">
        <v>3.3364285714285717</v>
      </c>
      <c r="Y34" s="2">
        <v>3.1750000000000007</v>
      </c>
      <c r="Z34" s="2">
        <v>3.1849999999999996</v>
      </c>
    </row>
    <row r="35" spans="1:26" x14ac:dyDescent="0.25">
      <c r="A35">
        <v>-12</v>
      </c>
      <c r="B35">
        <v>109</v>
      </c>
      <c r="C35">
        <f>VLOOKUP(A35,$J$9:$O$50,2,FALSE)</f>
        <v>3.9162499999999998</v>
      </c>
      <c r="D35">
        <f>VLOOKUP(A35,$U$9:$Z$50,$E$34,FALSE)</f>
        <v>2.5725000000000002</v>
      </c>
      <c r="J35">
        <v>5</v>
      </c>
      <c r="K35" s="55">
        <v>5.9349999999999987</v>
      </c>
      <c r="L35" s="2">
        <v>8.1199999999999992</v>
      </c>
      <c r="M35" s="2">
        <v>11.421428571428571</v>
      </c>
      <c r="N35" s="2">
        <v>13.96</v>
      </c>
      <c r="O35" s="2">
        <v>17.024999999999999</v>
      </c>
      <c r="U35">
        <v>5</v>
      </c>
      <c r="V35" s="55">
        <v>3.38</v>
      </c>
      <c r="W35" s="2">
        <v>3.3899999999999997</v>
      </c>
      <c r="X35" s="2">
        <v>3.3742857142857146</v>
      </c>
      <c r="Y35" s="2">
        <v>3.2200000000000006</v>
      </c>
      <c r="Z35" s="2">
        <v>3.2299999999999995</v>
      </c>
    </row>
    <row r="36" spans="1:26" x14ac:dyDescent="0.25">
      <c r="A36">
        <v>-7</v>
      </c>
      <c r="C36">
        <f t="shared" ref="C36:C39" si="0">VLOOKUP(A36,$J$9:$O$50,2,FALSE)</f>
        <v>4.51</v>
      </c>
      <c r="D36">
        <f t="shared" ref="D36:D39" si="1">VLOOKUP(A36,$U$9:$Z$50,$E$34,FALSE)</f>
        <v>2.81</v>
      </c>
      <c r="J36">
        <v>6</v>
      </c>
      <c r="K36" s="55">
        <v>6.0537499999999991</v>
      </c>
      <c r="L36" s="2">
        <v>8.2824999999999989</v>
      </c>
      <c r="M36" s="2">
        <v>11.670714285714286</v>
      </c>
      <c r="N36" s="2">
        <v>14.24</v>
      </c>
      <c r="O36" s="2">
        <v>17.366250000000001</v>
      </c>
      <c r="U36">
        <v>6</v>
      </c>
      <c r="V36" s="55">
        <v>3.4274999999999998</v>
      </c>
      <c r="W36" s="2">
        <v>3.4374999999999996</v>
      </c>
      <c r="X36" s="2">
        <v>3.4121428571428574</v>
      </c>
      <c r="Y36" s="2">
        <v>3.2650000000000006</v>
      </c>
      <c r="Z36" s="2">
        <v>3.2749999999999995</v>
      </c>
    </row>
    <row r="37" spans="1:26" x14ac:dyDescent="0.25">
      <c r="A37">
        <v>2</v>
      </c>
      <c r="C37">
        <f t="shared" si="0"/>
        <v>5.5787499999999994</v>
      </c>
      <c r="D37">
        <f t="shared" si="1"/>
        <v>3.2374999999999998</v>
      </c>
      <c r="J37">
        <v>7</v>
      </c>
      <c r="K37" s="55">
        <v>6.1724999999999994</v>
      </c>
      <c r="L37" s="2">
        <v>8.4450000000000003</v>
      </c>
      <c r="M37" s="2">
        <v>11.92</v>
      </c>
      <c r="N37" s="2">
        <v>14.52</v>
      </c>
      <c r="O37" s="2">
        <v>17.7075</v>
      </c>
      <c r="U37">
        <v>7</v>
      </c>
      <c r="V37" s="55">
        <v>3.4749999999999996</v>
      </c>
      <c r="W37" s="2">
        <v>3.4849999999999994</v>
      </c>
      <c r="X37" s="2">
        <v>3.45</v>
      </c>
      <c r="Y37" s="2">
        <v>3.3100000000000005</v>
      </c>
      <c r="Z37" s="2">
        <v>3.32</v>
      </c>
    </row>
    <row r="38" spans="1:26" x14ac:dyDescent="0.25">
      <c r="A38">
        <v>7</v>
      </c>
      <c r="C38">
        <f t="shared" si="0"/>
        <v>6.1724999999999994</v>
      </c>
      <c r="D38">
        <f t="shared" si="1"/>
        <v>3.4749999999999996</v>
      </c>
      <c r="J38">
        <v>8</v>
      </c>
      <c r="K38" s="55">
        <v>6.2912499999999998</v>
      </c>
      <c r="L38" s="2">
        <v>8.6074999999999999</v>
      </c>
      <c r="M38" s="2">
        <v>12.169285714285714</v>
      </c>
      <c r="N38" s="2">
        <v>14.8</v>
      </c>
      <c r="O38" s="2">
        <v>18.048749999999998</v>
      </c>
      <c r="U38">
        <v>8</v>
      </c>
      <c r="V38" s="55">
        <v>3.5225</v>
      </c>
      <c r="W38" s="2">
        <v>3.5324999999999998</v>
      </c>
      <c r="X38" s="2">
        <v>3.487857142857143</v>
      </c>
      <c r="Y38" s="2">
        <v>3.3550000000000009</v>
      </c>
      <c r="Z38" s="2">
        <v>3.3649999999999998</v>
      </c>
    </row>
    <row r="39" spans="1:26" x14ac:dyDescent="0.25">
      <c r="A39">
        <v>12</v>
      </c>
      <c r="C39">
        <f t="shared" si="0"/>
        <v>6.7662499999999994</v>
      </c>
      <c r="D39">
        <f t="shared" si="1"/>
        <v>3.7124999999999999</v>
      </c>
      <c r="J39">
        <v>9</v>
      </c>
      <c r="K39" s="55">
        <v>6.4099999999999993</v>
      </c>
      <c r="L39" s="2">
        <v>8.77</v>
      </c>
      <c r="M39" s="2">
        <v>12.418571428571429</v>
      </c>
      <c r="N39" s="2">
        <v>15.08</v>
      </c>
      <c r="O39" s="2">
        <v>18.39</v>
      </c>
      <c r="U39">
        <v>9</v>
      </c>
      <c r="V39" s="55">
        <v>3.57</v>
      </c>
      <c r="W39" s="2">
        <v>3.5799999999999996</v>
      </c>
      <c r="X39" s="2">
        <v>3.5257142857142858</v>
      </c>
      <c r="Y39" s="2">
        <v>3.4000000000000008</v>
      </c>
      <c r="Z39" s="2">
        <v>3.4099999999999997</v>
      </c>
    </row>
    <row r="40" spans="1:26" x14ac:dyDescent="0.25">
      <c r="J40">
        <v>10</v>
      </c>
      <c r="K40" s="55">
        <v>6.5287499999999987</v>
      </c>
      <c r="L40" s="2">
        <v>8.9324999999999992</v>
      </c>
      <c r="M40" s="2">
        <v>12.667857142857143</v>
      </c>
      <c r="N40" s="2">
        <v>15.36</v>
      </c>
      <c r="O40" s="2">
        <v>18.731250000000003</v>
      </c>
      <c r="U40">
        <v>10</v>
      </c>
      <c r="V40" s="55">
        <v>3.6174999999999997</v>
      </c>
      <c r="W40" s="2">
        <v>3.6274999999999995</v>
      </c>
      <c r="X40" s="2">
        <v>3.5635714285714286</v>
      </c>
      <c r="Y40" s="2">
        <v>3.4450000000000007</v>
      </c>
      <c r="Z40" s="2">
        <v>3.4549999999999996</v>
      </c>
    </row>
    <row r="41" spans="1:26" x14ac:dyDescent="0.25">
      <c r="A41" t="s">
        <v>45</v>
      </c>
      <c r="J41">
        <v>11</v>
      </c>
      <c r="K41" s="55">
        <v>6.6474999999999991</v>
      </c>
      <c r="L41" s="2">
        <v>9.0949999999999989</v>
      </c>
      <c r="M41" s="2">
        <v>12.917142857142856</v>
      </c>
      <c r="N41" s="2">
        <v>15.64</v>
      </c>
      <c r="O41" s="2">
        <v>19.072500000000002</v>
      </c>
      <c r="U41">
        <v>11</v>
      </c>
      <c r="V41" s="55">
        <v>3.665</v>
      </c>
      <c r="W41" s="2">
        <v>3.6749999999999998</v>
      </c>
      <c r="X41" s="2">
        <v>3.6014285714285714</v>
      </c>
      <c r="Y41" s="2">
        <v>3.4900000000000011</v>
      </c>
      <c r="Z41" s="2">
        <v>3.4999999999999996</v>
      </c>
    </row>
    <row r="42" spans="1:26" x14ac:dyDescent="0.25">
      <c r="J42">
        <v>12</v>
      </c>
      <c r="K42" s="55">
        <v>6.7662499999999994</v>
      </c>
      <c r="L42" s="2">
        <v>9.2575000000000003</v>
      </c>
      <c r="M42" s="2">
        <v>13.166428571428572</v>
      </c>
      <c r="N42" s="2">
        <v>15.92</v>
      </c>
      <c r="O42" s="2">
        <v>19.41375</v>
      </c>
      <c r="U42">
        <v>12</v>
      </c>
      <c r="V42" s="55">
        <v>3.7124999999999999</v>
      </c>
      <c r="W42" s="2">
        <v>3.7224999999999997</v>
      </c>
      <c r="X42" s="2">
        <v>3.6392857142857142</v>
      </c>
      <c r="Y42" s="2">
        <v>3.535000000000001</v>
      </c>
      <c r="Z42" s="2">
        <v>3.5449999999999999</v>
      </c>
    </row>
    <row r="43" spans="1:26" x14ac:dyDescent="0.25">
      <c r="A43" t="s">
        <v>147</v>
      </c>
      <c r="C43" t="s">
        <v>148</v>
      </c>
      <c r="J43">
        <v>13</v>
      </c>
      <c r="K43" s="55">
        <v>6.8849999999999998</v>
      </c>
      <c r="L43" s="2">
        <v>9.4199999999999982</v>
      </c>
      <c r="M43" s="2">
        <v>13.415714285714287</v>
      </c>
      <c r="N43" s="2">
        <v>16.2</v>
      </c>
      <c r="O43" s="2">
        <v>19.755000000000003</v>
      </c>
      <c r="U43">
        <v>13</v>
      </c>
      <c r="V43" s="55">
        <v>3.76</v>
      </c>
      <c r="W43" s="2">
        <v>3.7699999999999996</v>
      </c>
      <c r="X43" s="2">
        <v>3.6771428571428575</v>
      </c>
      <c r="Y43" s="2">
        <v>3.580000000000001</v>
      </c>
      <c r="Z43" s="2">
        <v>3.59</v>
      </c>
    </row>
    <row r="44" spans="1:26" x14ac:dyDescent="0.25">
      <c r="A44">
        <v>-12</v>
      </c>
      <c r="B44">
        <v>114</v>
      </c>
      <c r="C44">
        <f>VLOOKUP(A44,$J$54:$O$95,2,FALSE)</f>
        <v>3.8387500000000001</v>
      </c>
      <c r="D44">
        <f>VLOOKUP(A44,$U$54:$Z$95,$E$34,FALSE)</f>
        <v>2.2137500000000001</v>
      </c>
      <c r="J44">
        <v>14</v>
      </c>
      <c r="K44" s="55">
        <v>6.944285714285714</v>
      </c>
      <c r="L44" s="2">
        <v>9.5242857142857122</v>
      </c>
      <c r="M44" s="2">
        <v>13.582040816326533</v>
      </c>
      <c r="N44" s="2">
        <v>16.412857142857142</v>
      </c>
      <c r="O44" s="2">
        <v>19.994285714285716</v>
      </c>
      <c r="U44">
        <v>14</v>
      </c>
      <c r="V44" s="55">
        <v>3.8299999999999996</v>
      </c>
      <c r="W44" s="2">
        <v>3.8471428571428565</v>
      </c>
      <c r="X44" s="2">
        <v>3.7475510204081637</v>
      </c>
      <c r="Y44" s="2">
        <v>3.6857142857142864</v>
      </c>
      <c r="Z44" s="2">
        <v>3.6757142857142857</v>
      </c>
    </row>
    <row r="45" spans="1:26" x14ac:dyDescent="0.25">
      <c r="A45">
        <v>-7</v>
      </c>
      <c r="C45">
        <f t="shared" ref="C45:C48" si="2">VLOOKUP(A45,$J$54:$O$95,2,FALSE)</f>
        <v>4.42</v>
      </c>
      <c r="D45">
        <f t="shared" ref="D45:D48" si="3">VLOOKUP(A45,$U$54:$Z$95,$E$34,FALSE)</f>
        <v>2.42</v>
      </c>
      <c r="J45">
        <v>15</v>
      </c>
      <c r="K45" s="55">
        <v>7.0035714285714281</v>
      </c>
      <c r="L45" s="2">
        <v>9.6285714285714281</v>
      </c>
      <c r="M45" s="2">
        <v>13.748367346938776</v>
      </c>
      <c r="N45" s="2">
        <v>16.625714285714285</v>
      </c>
      <c r="O45" s="2">
        <v>20.23357142857143</v>
      </c>
      <c r="U45">
        <v>15</v>
      </c>
      <c r="V45" s="55">
        <v>3.9</v>
      </c>
      <c r="W45" s="2">
        <v>3.9242857142857139</v>
      </c>
      <c r="X45" s="2">
        <v>3.8179591836734694</v>
      </c>
      <c r="Y45" s="2">
        <v>3.7914285714285723</v>
      </c>
      <c r="Z45" s="2">
        <v>3.7614285714285716</v>
      </c>
    </row>
    <row r="46" spans="1:26" x14ac:dyDescent="0.25">
      <c r="A46">
        <v>2</v>
      </c>
      <c r="C46">
        <f t="shared" si="2"/>
        <v>5.4662499999999996</v>
      </c>
      <c r="D46">
        <f t="shared" si="3"/>
        <v>2.7912499999999998</v>
      </c>
      <c r="J46">
        <v>16</v>
      </c>
      <c r="K46" s="55">
        <v>7.0628571428571423</v>
      </c>
      <c r="L46" s="2">
        <v>9.7328571428571422</v>
      </c>
      <c r="M46" s="2">
        <v>13.914693877551022</v>
      </c>
      <c r="N46" s="2">
        <v>16.838571428571427</v>
      </c>
      <c r="O46" s="2">
        <v>20.472857142857144</v>
      </c>
      <c r="U46">
        <v>16</v>
      </c>
      <c r="V46" s="55">
        <v>3.9699999999999998</v>
      </c>
      <c r="W46" s="2">
        <v>4.0014285714285709</v>
      </c>
      <c r="X46" s="2">
        <v>3.8883673469387756</v>
      </c>
      <c r="Y46" s="2">
        <v>3.8971428571428577</v>
      </c>
      <c r="Z46" s="2">
        <v>3.8471428571428574</v>
      </c>
    </row>
    <row r="47" spans="1:26" x14ac:dyDescent="0.25">
      <c r="A47">
        <v>7</v>
      </c>
      <c r="C47">
        <f t="shared" si="2"/>
        <v>6.0474999999999994</v>
      </c>
      <c r="D47">
        <f t="shared" si="3"/>
        <v>2.9975000000000001</v>
      </c>
      <c r="J47">
        <v>17</v>
      </c>
      <c r="K47" s="55">
        <v>7.1221428571428573</v>
      </c>
      <c r="L47" s="2">
        <v>9.8371428571428563</v>
      </c>
      <c r="M47" s="2">
        <v>14.081020408163266</v>
      </c>
      <c r="N47" s="2">
        <v>17.051428571428573</v>
      </c>
      <c r="O47" s="2">
        <v>20.712142857142858</v>
      </c>
      <c r="U47">
        <v>17</v>
      </c>
      <c r="V47" s="55">
        <v>4.04</v>
      </c>
      <c r="W47" s="2">
        <v>4.0785714285714283</v>
      </c>
      <c r="X47" s="2">
        <v>3.9587755102040818</v>
      </c>
      <c r="Y47" s="2">
        <v>4.0028571428571436</v>
      </c>
      <c r="Z47" s="2">
        <v>3.9328571428571428</v>
      </c>
    </row>
    <row r="48" spans="1:26" x14ac:dyDescent="0.25">
      <c r="A48">
        <v>12</v>
      </c>
      <c r="C48">
        <f t="shared" si="2"/>
        <v>6.6287499999999993</v>
      </c>
      <c r="D48">
        <f t="shared" si="3"/>
        <v>3.2037500000000003</v>
      </c>
      <c r="J48">
        <v>18</v>
      </c>
      <c r="K48" s="55">
        <v>7.1814285714285715</v>
      </c>
      <c r="L48" s="2">
        <v>9.9414285714285704</v>
      </c>
      <c r="M48" s="2">
        <v>14.247346938775511</v>
      </c>
      <c r="N48" s="2">
        <v>17.264285714285716</v>
      </c>
      <c r="O48" s="2">
        <v>20.951428571428572</v>
      </c>
      <c r="U48">
        <v>18</v>
      </c>
      <c r="V48" s="55">
        <v>4.1100000000000003</v>
      </c>
      <c r="W48" s="2">
        <v>4.1557142857142857</v>
      </c>
      <c r="X48" s="2">
        <v>4.0291836734693875</v>
      </c>
      <c r="Y48" s="2">
        <v>4.1085714285714294</v>
      </c>
      <c r="Z48" s="2">
        <v>4.0185714285714287</v>
      </c>
    </row>
    <row r="49" spans="1:26" x14ac:dyDescent="0.25">
      <c r="J49">
        <v>19</v>
      </c>
      <c r="K49" s="55">
        <v>7.2407142857142857</v>
      </c>
      <c r="L49" s="2">
        <v>10.045714285714286</v>
      </c>
      <c r="M49" s="2">
        <v>14.413673469387755</v>
      </c>
      <c r="N49" s="2">
        <v>17.477142857142859</v>
      </c>
      <c r="O49" s="2">
        <v>21.190714285714286</v>
      </c>
      <c r="U49">
        <v>19</v>
      </c>
      <c r="V49" s="55">
        <v>4.18</v>
      </c>
      <c r="W49" s="2">
        <v>4.2328571428571422</v>
      </c>
      <c r="X49" s="2">
        <v>4.0995918367346942</v>
      </c>
      <c r="Y49" s="2">
        <v>4.2142857142857144</v>
      </c>
      <c r="Z49" s="2">
        <v>4.104285714285715</v>
      </c>
    </row>
    <row r="50" spans="1:26" x14ac:dyDescent="0.25">
      <c r="A50" t="s">
        <v>153</v>
      </c>
      <c r="J50">
        <v>20</v>
      </c>
      <c r="K50" s="55">
        <v>7.3</v>
      </c>
      <c r="L50" s="2">
        <v>10.15</v>
      </c>
      <c r="M50" s="2">
        <v>14.58</v>
      </c>
      <c r="N50" s="2">
        <v>17.690000000000001</v>
      </c>
      <c r="O50" s="2">
        <v>21.43</v>
      </c>
      <c r="U50">
        <v>20</v>
      </c>
      <c r="V50" s="55">
        <v>4.25</v>
      </c>
      <c r="W50" s="2">
        <v>4.3099999999999996</v>
      </c>
      <c r="X50" s="2">
        <v>4.17</v>
      </c>
      <c r="Y50" s="2">
        <v>4.32</v>
      </c>
      <c r="Z50" s="2">
        <v>4.1900000000000004</v>
      </c>
    </row>
    <row r="52" spans="1:26" x14ac:dyDescent="0.25">
      <c r="A52" t="s">
        <v>147</v>
      </c>
      <c r="C52" t="s">
        <v>148</v>
      </c>
      <c r="J52" s="51" t="s">
        <v>45</v>
      </c>
      <c r="U52" s="51" t="s">
        <v>45</v>
      </c>
    </row>
    <row r="53" spans="1:26" x14ac:dyDescent="0.25">
      <c r="A53">
        <v>-12</v>
      </c>
      <c r="B53">
        <v>119</v>
      </c>
      <c r="C53">
        <f>VLOOKUP(A53,$J$99:$O$140,2,FALSE)</f>
        <v>3.63</v>
      </c>
      <c r="D53">
        <f>VLOOKUP(A53,$U$99:$Z$140,$E$34,FALSE)</f>
        <v>1.7374999999999998</v>
      </c>
    </row>
    <row r="54" spans="1:26" x14ac:dyDescent="0.25">
      <c r="A54">
        <v>-7</v>
      </c>
      <c r="C54">
        <f t="shared" ref="C54:C57" si="4">VLOOKUP(A54,$J$99:$O$140,2,FALSE)</f>
        <v>4.18</v>
      </c>
      <c r="D54">
        <f t="shared" ref="D54:D57" si="5">VLOOKUP(A54,$U$99:$Z$140,$E$34,FALSE)</f>
        <v>1.9</v>
      </c>
      <c r="J54" s="52" t="s">
        <v>147</v>
      </c>
      <c r="K54" s="53" t="s">
        <v>367</v>
      </c>
      <c r="L54" s="53" t="s">
        <v>368</v>
      </c>
      <c r="M54" s="53" t="s">
        <v>369</v>
      </c>
      <c r="N54" s="53" t="s">
        <v>370</v>
      </c>
      <c r="O54" s="53" t="s">
        <v>371</v>
      </c>
      <c r="U54" s="52" t="s">
        <v>147</v>
      </c>
      <c r="V54" s="53" t="s">
        <v>367</v>
      </c>
      <c r="W54" s="53" t="s">
        <v>368</v>
      </c>
      <c r="X54" s="53" t="s">
        <v>369</v>
      </c>
      <c r="Y54" s="53" t="s">
        <v>370</v>
      </c>
      <c r="Z54" s="53" t="s">
        <v>371</v>
      </c>
    </row>
    <row r="55" spans="1:26" x14ac:dyDescent="0.25">
      <c r="A55">
        <v>2</v>
      </c>
      <c r="C55">
        <f t="shared" si="4"/>
        <v>5.17</v>
      </c>
      <c r="D55">
        <f t="shared" si="5"/>
        <v>2.1924999999999999</v>
      </c>
      <c r="J55">
        <v>-20</v>
      </c>
      <c r="K55" s="54">
        <v>2.9087500000000004</v>
      </c>
      <c r="L55" s="2">
        <v>3.8687500000000004</v>
      </c>
      <c r="M55" s="2">
        <v>5.4700000000000006</v>
      </c>
      <c r="N55" s="2">
        <v>6.902499999999999</v>
      </c>
      <c r="O55" s="2">
        <v>7.8587499999999988</v>
      </c>
      <c r="U55">
        <v>-20</v>
      </c>
      <c r="V55" s="54">
        <v>1.8837499999999998</v>
      </c>
      <c r="W55" s="2">
        <v>2.01125</v>
      </c>
      <c r="X55" s="2">
        <v>1.9237499999999998</v>
      </c>
      <c r="Y55" s="2">
        <v>1.8162499999999997</v>
      </c>
      <c r="Z55" s="2">
        <v>1.8162499999999997</v>
      </c>
    </row>
    <row r="56" spans="1:26" x14ac:dyDescent="0.25">
      <c r="A56">
        <v>7</v>
      </c>
      <c r="C56">
        <f t="shared" si="4"/>
        <v>5.72</v>
      </c>
      <c r="D56">
        <f t="shared" si="5"/>
        <v>2.355</v>
      </c>
      <c r="J56">
        <v>-19</v>
      </c>
      <c r="K56" s="55">
        <v>3.0250000000000004</v>
      </c>
      <c r="L56" s="2">
        <v>4.0250000000000004</v>
      </c>
      <c r="M56" s="2">
        <v>5.69</v>
      </c>
      <c r="N56" s="2">
        <v>7.1799999999999988</v>
      </c>
      <c r="O56" s="2">
        <v>8.1749999999999989</v>
      </c>
      <c r="U56">
        <v>-19</v>
      </c>
      <c r="V56" s="55">
        <v>1.9249999999999998</v>
      </c>
      <c r="W56" s="2">
        <v>2.0549999999999997</v>
      </c>
      <c r="X56" s="2">
        <v>1.9649999999999999</v>
      </c>
      <c r="Y56" s="2">
        <v>1.8549999999999998</v>
      </c>
      <c r="Z56" s="2">
        <v>1.8549999999999998</v>
      </c>
    </row>
    <row r="57" spans="1:26" x14ac:dyDescent="0.25">
      <c r="A57">
        <v>12</v>
      </c>
      <c r="C57">
        <f t="shared" si="4"/>
        <v>6.27</v>
      </c>
      <c r="D57">
        <f t="shared" si="5"/>
        <v>2.5175000000000001</v>
      </c>
      <c r="J57">
        <v>-18</v>
      </c>
      <c r="K57" s="55">
        <v>3.1412500000000003</v>
      </c>
      <c r="L57" s="2">
        <v>4.1812500000000004</v>
      </c>
      <c r="M57" s="2">
        <v>5.91</v>
      </c>
      <c r="N57" s="2">
        <v>7.4574999999999987</v>
      </c>
      <c r="O57" s="2">
        <v>8.4912499999999991</v>
      </c>
      <c r="U57">
        <v>-18</v>
      </c>
      <c r="V57" s="55">
        <v>1.9662499999999998</v>
      </c>
      <c r="W57" s="2">
        <v>2.0987499999999999</v>
      </c>
      <c r="X57" s="2">
        <v>2.0062499999999996</v>
      </c>
      <c r="Y57" s="2">
        <v>1.8937499999999998</v>
      </c>
      <c r="Z57" s="2">
        <v>1.8937499999999998</v>
      </c>
    </row>
    <row r="58" spans="1:26" x14ac:dyDescent="0.25">
      <c r="J58">
        <v>-17</v>
      </c>
      <c r="K58" s="55">
        <v>3.2575000000000003</v>
      </c>
      <c r="L58" s="2">
        <v>4.3375000000000004</v>
      </c>
      <c r="M58" s="2">
        <v>6.1300000000000008</v>
      </c>
      <c r="N58" s="2">
        <v>7.7349999999999994</v>
      </c>
      <c r="O58" s="2">
        <v>8.8074999999999992</v>
      </c>
      <c r="U58">
        <v>-17</v>
      </c>
      <c r="V58" s="55">
        <v>2.0074999999999998</v>
      </c>
      <c r="W58" s="2">
        <v>2.1425000000000001</v>
      </c>
      <c r="X58" s="2">
        <v>2.0474999999999999</v>
      </c>
      <c r="Y58" s="2">
        <v>1.9324999999999997</v>
      </c>
      <c r="Z58" s="2">
        <v>1.9324999999999997</v>
      </c>
    </row>
    <row r="59" spans="1:26" x14ac:dyDescent="0.25">
      <c r="A59" t="s">
        <v>145</v>
      </c>
      <c r="J59">
        <v>-16</v>
      </c>
      <c r="K59" s="55">
        <v>3.3737500000000002</v>
      </c>
      <c r="L59" s="2">
        <v>4.4937500000000004</v>
      </c>
      <c r="M59" s="2">
        <v>6.3500000000000005</v>
      </c>
      <c r="N59" s="2">
        <v>8.0124999999999993</v>
      </c>
      <c r="O59" s="2">
        <v>9.1237499999999994</v>
      </c>
      <c r="U59">
        <v>-16</v>
      </c>
      <c r="V59" s="55">
        <v>2.0487500000000001</v>
      </c>
      <c r="W59" s="2">
        <v>2.1862499999999998</v>
      </c>
      <c r="X59" s="2">
        <v>2.0887500000000001</v>
      </c>
      <c r="Y59" s="2">
        <v>1.9712499999999997</v>
      </c>
      <c r="Z59" s="2">
        <v>1.9712499999999997</v>
      </c>
    </row>
    <row r="60" spans="1:26" x14ac:dyDescent="0.25">
      <c r="J60">
        <v>-15</v>
      </c>
      <c r="K60" s="55">
        <v>3.49</v>
      </c>
      <c r="L60" s="2">
        <v>4.6500000000000004</v>
      </c>
      <c r="M60" s="2">
        <v>6.57</v>
      </c>
      <c r="N60" s="2">
        <v>8.2899999999999991</v>
      </c>
      <c r="O60" s="2">
        <v>9.44</v>
      </c>
      <c r="U60">
        <v>-15</v>
      </c>
      <c r="V60" s="55">
        <v>2.09</v>
      </c>
      <c r="W60" s="2">
        <v>2.23</v>
      </c>
      <c r="X60" s="2">
        <v>2.13</v>
      </c>
      <c r="Y60" s="2">
        <v>2.0099999999999998</v>
      </c>
      <c r="Z60" s="2">
        <v>2.0099999999999998</v>
      </c>
    </row>
    <row r="61" spans="1:26" x14ac:dyDescent="0.25">
      <c r="A61" t="s">
        <v>147</v>
      </c>
      <c r="C61" t="s">
        <v>149</v>
      </c>
      <c r="E61">
        <v>3</v>
      </c>
      <c r="J61">
        <v>-14</v>
      </c>
      <c r="K61" s="55">
        <v>3.6062500000000002</v>
      </c>
      <c r="L61" s="2">
        <v>4.8062500000000004</v>
      </c>
      <c r="M61" s="2">
        <v>6.79</v>
      </c>
      <c r="N61" s="2">
        <v>8.567499999999999</v>
      </c>
      <c r="O61" s="2">
        <v>9.7562499999999996</v>
      </c>
      <c r="U61">
        <v>-14</v>
      </c>
      <c r="V61" s="55">
        <v>2.1312499999999996</v>
      </c>
      <c r="W61" s="2">
        <v>2.2737500000000002</v>
      </c>
      <c r="X61" s="2">
        <v>2.1712499999999997</v>
      </c>
      <c r="Y61" s="2">
        <v>2.0487499999999996</v>
      </c>
      <c r="Z61" s="2">
        <v>2.0487499999999996</v>
      </c>
    </row>
    <row r="62" spans="1:26" x14ac:dyDescent="0.25">
      <c r="A62">
        <v>-12</v>
      </c>
      <c r="B62">
        <v>110</v>
      </c>
      <c r="C62">
        <f>VLOOKUP(A62,$J$9:$O$50,3,FALSE)</f>
        <v>5.3574999999999999</v>
      </c>
      <c r="D62">
        <f>VLOOKUP(A62,$U$9:$Z$50,$E$61,FALSE)</f>
        <v>2.5825</v>
      </c>
      <c r="J62">
        <v>-13</v>
      </c>
      <c r="K62" s="55">
        <v>3.7225000000000001</v>
      </c>
      <c r="L62" s="2">
        <v>4.9625000000000004</v>
      </c>
      <c r="M62" s="2">
        <v>7.01</v>
      </c>
      <c r="N62" s="2">
        <v>8.8449999999999989</v>
      </c>
      <c r="O62" s="2">
        <v>10.0725</v>
      </c>
      <c r="U62">
        <v>-13</v>
      </c>
      <c r="V62" s="55">
        <v>2.1724999999999999</v>
      </c>
      <c r="W62" s="2">
        <v>2.3174999999999999</v>
      </c>
      <c r="X62" s="2">
        <v>2.2124999999999999</v>
      </c>
      <c r="Y62" s="2">
        <v>2.0874999999999999</v>
      </c>
      <c r="Z62" s="2">
        <v>2.0874999999999999</v>
      </c>
    </row>
    <row r="63" spans="1:26" x14ac:dyDescent="0.25">
      <c r="A63">
        <v>-7</v>
      </c>
      <c r="C63">
        <f t="shared" ref="C63:C66" si="6">VLOOKUP(A63,$J$9:$O$50,3,FALSE)</f>
        <v>6.17</v>
      </c>
      <c r="D63">
        <f t="shared" ref="D63:D66" si="7">VLOOKUP(A63,$U$9:$Z$50,$E$61,FALSE)</f>
        <v>2.82</v>
      </c>
      <c r="J63">
        <v>-12</v>
      </c>
      <c r="K63" s="55">
        <v>3.8387500000000001</v>
      </c>
      <c r="L63" s="2">
        <v>5.1187500000000004</v>
      </c>
      <c r="M63" s="2">
        <v>7.23</v>
      </c>
      <c r="N63" s="2">
        <v>9.1224999999999987</v>
      </c>
      <c r="O63" s="2">
        <v>10.38875</v>
      </c>
      <c r="U63">
        <v>-12</v>
      </c>
      <c r="V63" s="55">
        <v>2.2137500000000001</v>
      </c>
      <c r="W63" s="2">
        <v>2.3612500000000001</v>
      </c>
      <c r="X63" s="2">
        <v>2.2537500000000001</v>
      </c>
      <c r="Y63" s="2">
        <v>2.1262499999999998</v>
      </c>
      <c r="Z63" s="2">
        <v>2.1262499999999998</v>
      </c>
    </row>
    <row r="64" spans="1:26" x14ac:dyDescent="0.25">
      <c r="A64">
        <v>2</v>
      </c>
      <c r="C64">
        <f t="shared" si="6"/>
        <v>7.6325000000000003</v>
      </c>
      <c r="D64">
        <f t="shared" si="7"/>
        <v>3.2474999999999996</v>
      </c>
      <c r="J64">
        <v>-11</v>
      </c>
      <c r="K64" s="55">
        <v>3.9550000000000001</v>
      </c>
      <c r="L64" s="2">
        <v>5.2750000000000004</v>
      </c>
      <c r="M64" s="2">
        <v>7.45</v>
      </c>
      <c r="N64" s="2">
        <v>9.3999999999999986</v>
      </c>
      <c r="O64" s="2">
        <v>10.705</v>
      </c>
      <c r="U64">
        <v>-11</v>
      </c>
      <c r="V64" s="55">
        <v>2.2549999999999999</v>
      </c>
      <c r="W64" s="2">
        <v>2.4050000000000002</v>
      </c>
      <c r="X64" s="2">
        <v>2.2949999999999999</v>
      </c>
      <c r="Y64" s="2">
        <v>2.165</v>
      </c>
      <c r="Z64" s="2">
        <v>2.165</v>
      </c>
    </row>
    <row r="65" spans="1:26" x14ac:dyDescent="0.25">
      <c r="A65">
        <v>7</v>
      </c>
      <c r="C65">
        <f t="shared" si="6"/>
        <v>8.4450000000000003</v>
      </c>
      <c r="D65">
        <f t="shared" si="7"/>
        <v>3.4849999999999994</v>
      </c>
      <c r="J65">
        <v>-10</v>
      </c>
      <c r="K65" s="55">
        <v>4.07125</v>
      </c>
      <c r="L65" s="2">
        <v>5.4312500000000004</v>
      </c>
      <c r="M65" s="2">
        <v>7.67</v>
      </c>
      <c r="N65" s="2">
        <v>9.6775000000000002</v>
      </c>
      <c r="O65" s="2">
        <v>11.02125</v>
      </c>
      <c r="U65">
        <v>-10</v>
      </c>
      <c r="V65" s="55">
        <v>2.2962499999999997</v>
      </c>
      <c r="W65" s="2">
        <v>2.44875</v>
      </c>
      <c r="X65" s="2">
        <v>2.3362499999999997</v>
      </c>
      <c r="Y65" s="2">
        <v>2.2037499999999999</v>
      </c>
      <c r="Z65" s="2">
        <v>2.2037499999999999</v>
      </c>
    </row>
    <row r="66" spans="1:26" x14ac:dyDescent="0.25">
      <c r="A66">
        <v>12</v>
      </c>
      <c r="C66">
        <f t="shared" si="6"/>
        <v>9.2575000000000003</v>
      </c>
      <c r="D66">
        <f t="shared" si="7"/>
        <v>3.7224999999999997</v>
      </c>
      <c r="J66">
        <v>-9</v>
      </c>
      <c r="K66" s="55">
        <v>4.1875</v>
      </c>
      <c r="L66" s="2">
        <v>5.5875000000000004</v>
      </c>
      <c r="M66" s="2">
        <v>7.8900000000000006</v>
      </c>
      <c r="N66" s="2">
        <v>9.9550000000000001</v>
      </c>
      <c r="O66" s="2">
        <v>11.3375</v>
      </c>
      <c r="U66">
        <v>-9</v>
      </c>
      <c r="V66" s="55">
        <v>2.3374999999999999</v>
      </c>
      <c r="W66" s="2">
        <v>2.4925000000000002</v>
      </c>
      <c r="X66" s="2">
        <v>2.3774999999999999</v>
      </c>
      <c r="Y66" s="2">
        <v>2.2424999999999997</v>
      </c>
      <c r="Z66" s="2">
        <v>2.2424999999999997</v>
      </c>
    </row>
    <row r="67" spans="1:26" x14ac:dyDescent="0.25">
      <c r="J67">
        <v>-8</v>
      </c>
      <c r="K67" s="55">
        <v>4.30375</v>
      </c>
      <c r="L67" s="2">
        <v>5.7437500000000004</v>
      </c>
      <c r="M67" s="2">
        <v>8.11</v>
      </c>
      <c r="N67" s="2">
        <v>10.2325</v>
      </c>
      <c r="O67" s="2">
        <v>11.65375</v>
      </c>
      <c r="U67">
        <v>-8</v>
      </c>
      <c r="V67" s="55">
        <v>2.3787500000000001</v>
      </c>
      <c r="W67" s="2">
        <v>2.5362499999999999</v>
      </c>
      <c r="X67" s="2">
        <v>2.4187500000000002</v>
      </c>
      <c r="Y67" s="2">
        <v>2.28125</v>
      </c>
      <c r="Z67" s="2">
        <v>2.28125</v>
      </c>
    </row>
    <row r="68" spans="1:26" x14ac:dyDescent="0.25">
      <c r="A68" t="s">
        <v>45</v>
      </c>
      <c r="J68">
        <v>-7</v>
      </c>
      <c r="K68" s="55">
        <v>4.42</v>
      </c>
      <c r="L68" s="2">
        <v>5.9</v>
      </c>
      <c r="M68" s="2">
        <v>8.33</v>
      </c>
      <c r="N68" s="2">
        <v>10.51</v>
      </c>
      <c r="O68" s="2">
        <v>11.97</v>
      </c>
      <c r="U68">
        <v>-7</v>
      </c>
      <c r="V68" s="55">
        <v>2.42</v>
      </c>
      <c r="W68" s="2">
        <v>2.58</v>
      </c>
      <c r="X68" s="2">
        <v>2.46</v>
      </c>
      <c r="Y68" s="2">
        <v>2.3199999999999998</v>
      </c>
      <c r="Z68" s="2">
        <v>2.3199999999999998</v>
      </c>
    </row>
    <row r="69" spans="1:26" x14ac:dyDescent="0.25">
      <c r="J69">
        <v>-6</v>
      </c>
      <c r="K69" s="55">
        <v>4.5362499999999999</v>
      </c>
      <c r="L69" s="2">
        <v>6.0562500000000004</v>
      </c>
      <c r="M69" s="2">
        <v>8.576428571428572</v>
      </c>
      <c r="N69" s="2">
        <v>10.7875</v>
      </c>
      <c r="O69" s="2">
        <v>12.286250000000001</v>
      </c>
      <c r="U69">
        <v>-6</v>
      </c>
      <c r="V69" s="55">
        <v>2.4612499999999997</v>
      </c>
      <c r="W69" s="2">
        <v>2.6237500000000002</v>
      </c>
      <c r="X69" s="2">
        <v>2.492142857142857</v>
      </c>
      <c r="Y69" s="2">
        <v>2.3587499999999997</v>
      </c>
      <c r="Z69" s="2">
        <v>2.3587499999999997</v>
      </c>
    </row>
    <row r="70" spans="1:26" x14ac:dyDescent="0.25">
      <c r="A70" t="s">
        <v>147</v>
      </c>
      <c r="C70" t="s">
        <v>149</v>
      </c>
      <c r="J70">
        <v>-5</v>
      </c>
      <c r="K70" s="55">
        <v>4.6524999999999999</v>
      </c>
      <c r="L70" s="2">
        <v>6.2125000000000004</v>
      </c>
      <c r="M70" s="2">
        <v>8.8228571428571421</v>
      </c>
      <c r="N70" s="2">
        <v>11.065</v>
      </c>
      <c r="O70" s="2">
        <v>12.602500000000001</v>
      </c>
      <c r="U70">
        <v>-5</v>
      </c>
      <c r="V70" s="55">
        <v>2.5024999999999999</v>
      </c>
      <c r="W70" s="2">
        <v>2.6675</v>
      </c>
      <c r="X70" s="2">
        <v>2.5242857142857145</v>
      </c>
      <c r="Y70" s="2">
        <v>2.3975</v>
      </c>
      <c r="Z70" s="2">
        <v>2.3975</v>
      </c>
    </row>
    <row r="71" spans="1:26" x14ac:dyDescent="0.25">
      <c r="A71">
        <v>-12</v>
      </c>
      <c r="B71">
        <v>115</v>
      </c>
      <c r="C71">
        <f>VLOOKUP(A71,$J$54:$O$95,3,FALSE)</f>
        <v>5.1187500000000004</v>
      </c>
      <c r="D71">
        <f>VLOOKUP(A71,$U$54:$Z$95,$E$61,FALSE)</f>
        <v>2.3612500000000001</v>
      </c>
      <c r="J71">
        <v>-4</v>
      </c>
      <c r="K71" s="55">
        <v>4.7687499999999998</v>
      </c>
      <c r="L71" s="2">
        <v>6.3687500000000004</v>
      </c>
      <c r="M71" s="2">
        <v>9.069285714285714</v>
      </c>
      <c r="N71" s="2">
        <v>11.342500000000001</v>
      </c>
      <c r="O71" s="2">
        <v>12.918750000000001</v>
      </c>
      <c r="U71">
        <v>-4</v>
      </c>
      <c r="V71" s="55">
        <v>2.5437500000000002</v>
      </c>
      <c r="W71" s="2">
        <v>2.7112500000000002</v>
      </c>
      <c r="X71" s="2">
        <v>2.5564285714285715</v>
      </c>
      <c r="Y71" s="2">
        <v>2.4362499999999998</v>
      </c>
      <c r="Z71" s="2">
        <v>2.4362499999999998</v>
      </c>
    </row>
    <row r="72" spans="1:26" x14ac:dyDescent="0.25">
      <c r="A72">
        <v>-7</v>
      </c>
      <c r="C72">
        <f t="shared" ref="C72:C75" si="8">VLOOKUP(A72,$J$54:$O$95,3,FALSE)</f>
        <v>5.9</v>
      </c>
      <c r="D72">
        <f t="shared" ref="D72:D75" si="9">VLOOKUP(A72,$U$54:$Z$95,$E$61,FALSE)</f>
        <v>2.58</v>
      </c>
      <c r="J72">
        <v>-3</v>
      </c>
      <c r="K72" s="55">
        <v>4.8849999999999998</v>
      </c>
      <c r="L72" s="2">
        <v>6.5250000000000004</v>
      </c>
      <c r="M72" s="2">
        <v>9.3157142857142858</v>
      </c>
      <c r="N72" s="2">
        <v>11.620000000000001</v>
      </c>
      <c r="O72" s="2">
        <v>13.235000000000001</v>
      </c>
      <c r="U72">
        <v>-3</v>
      </c>
      <c r="V72" s="55">
        <v>2.585</v>
      </c>
      <c r="W72" s="2">
        <v>2.7549999999999999</v>
      </c>
      <c r="X72" s="2">
        <v>2.5885714285714285</v>
      </c>
      <c r="Y72" s="2">
        <v>2.4749999999999996</v>
      </c>
      <c r="Z72" s="2">
        <v>2.4749999999999996</v>
      </c>
    </row>
    <row r="73" spans="1:26" x14ac:dyDescent="0.25">
      <c r="A73">
        <v>2</v>
      </c>
      <c r="C73">
        <f t="shared" si="8"/>
        <v>7.3062500000000004</v>
      </c>
      <c r="D73">
        <f t="shared" si="9"/>
        <v>2.9737499999999999</v>
      </c>
      <c r="J73">
        <v>-2</v>
      </c>
      <c r="K73" s="55">
        <v>5.0012499999999998</v>
      </c>
      <c r="L73" s="2">
        <v>6.6812500000000004</v>
      </c>
      <c r="M73" s="2">
        <v>9.5621428571428577</v>
      </c>
      <c r="N73" s="2">
        <v>11.897500000000001</v>
      </c>
      <c r="O73" s="2">
        <v>13.551250000000001</v>
      </c>
      <c r="U73">
        <v>-2</v>
      </c>
      <c r="V73" s="55">
        <v>2.6262499999999998</v>
      </c>
      <c r="W73" s="2">
        <v>2.7987500000000001</v>
      </c>
      <c r="X73" s="2">
        <v>2.6207142857142856</v>
      </c>
      <c r="Y73" s="2">
        <v>2.5137499999999999</v>
      </c>
      <c r="Z73" s="2">
        <v>2.5137499999999999</v>
      </c>
    </row>
    <row r="74" spans="1:26" x14ac:dyDescent="0.25">
      <c r="A74">
        <v>7</v>
      </c>
      <c r="C74">
        <f t="shared" si="8"/>
        <v>8.0875000000000004</v>
      </c>
      <c r="D74">
        <f t="shared" si="9"/>
        <v>3.1925000000000003</v>
      </c>
      <c r="J74">
        <v>-1</v>
      </c>
      <c r="K74" s="55">
        <v>5.1174999999999997</v>
      </c>
      <c r="L74" s="2">
        <v>6.8375000000000004</v>
      </c>
      <c r="M74" s="2">
        <v>9.8085714285714278</v>
      </c>
      <c r="N74" s="2">
        <v>12.175000000000001</v>
      </c>
      <c r="O74" s="2">
        <v>13.867500000000001</v>
      </c>
      <c r="U74">
        <v>-1</v>
      </c>
      <c r="V74" s="55">
        <v>2.6675</v>
      </c>
      <c r="W74" s="2">
        <v>2.8425000000000002</v>
      </c>
      <c r="X74" s="2">
        <v>2.652857142857143</v>
      </c>
      <c r="Y74" s="2">
        <v>2.5524999999999998</v>
      </c>
      <c r="Z74" s="2">
        <v>2.5524999999999998</v>
      </c>
    </row>
    <row r="75" spans="1:26" x14ac:dyDescent="0.25">
      <c r="A75">
        <v>12</v>
      </c>
      <c r="C75">
        <f t="shared" si="8"/>
        <v>8.8687500000000004</v>
      </c>
      <c r="D75">
        <f t="shared" si="9"/>
        <v>3.4112500000000003</v>
      </c>
      <c r="J75">
        <v>0</v>
      </c>
      <c r="K75" s="55">
        <v>5.2337499999999997</v>
      </c>
      <c r="L75" s="2">
        <v>6.9937500000000004</v>
      </c>
      <c r="M75" s="2">
        <v>10.055</v>
      </c>
      <c r="N75" s="2">
        <v>12.452500000000001</v>
      </c>
      <c r="O75" s="2">
        <v>14.183750000000002</v>
      </c>
      <c r="U75">
        <v>0</v>
      </c>
      <c r="V75" s="55">
        <v>2.7087500000000002</v>
      </c>
      <c r="W75" s="2">
        <v>2.8862500000000004</v>
      </c>
      <c r="X75" s="2">
        <v>2.6850000000000001</v>
      </c>
      <c r="Y75" s="2">
        <v>2.5912499999999996</v>
      </c>
      <c r="Z75" s="2">
        <v>2.5912499999999996</v>
      </c>
    </row>
    <row r="76" spans="1:26" x14ac:dyDescent="0.25">
      <c r="J76">
        <v>1</v>
      </c>
      <c r="K76" s="55">
        <v>5.35</v>
      </c>
      <c r="L76" s="2">
        <v>7.15</v>
      </c>
      <c r="M76" s="2">
        <v>10.301428571428572</v>
      </c>
      <c r="N76" s="2">
        <v>12.73</v>
      </c>
      <c r="O76" s="2">
        <v>14.500000000000002</v>
      </c>
      <c r="U76">
        <v>1</v>
      </c>
      <c r="V76" s="55">
        <v>2.75</v>
      </c>
      <c r="W76" s="2">
        <v>2.93</v>
      </c>
      <c r="X76" s="2">
        <v>2.7171428571428571</v>
      </c>
      <c r="Y76" s="2">
        <v>2.63</v>
      </c>
      <c r="Z76" s="2">
        <v>2.63</v>
      </c>
    </row>
    <row r="77" spans="1:26" x14ac:dyDescent="0.25">
      <c r="A77" t="s">
        <v>153</v>
      </c>
      <c r="J77">
        <v>2</v>
      </c>
      <c r="K77" s="55">
        <v>5.4662499999999996</v>
      </c>
      <c r="L77" s="2">
        <v>7.3062500000000004</v>
      </c>
      <c r="M77" s="2">
        <v>10.547857142857143</v>
      </c>
      <c r="N77" s="2">
        <v>13.0075</v>
      </c>
      <c r="O77" s="2">
        <v>14.816250000000002</v>
      </c>
      <c r="U77">
        <v>2</v>
      </c>
      <c r="V77" s="55">
        <v>2.7912499999999998</v>
      </c>
      <c r="W77" s="2">
        <v>2.9737499999999999</v>
      </c>
      <c r="X77" s="2">
        <v>2.7492857142857146</v>
      </c>
      <c r="Y77" s="2">
        <v>2.6687500000000002</v>
      </c>
      <c r="Z77" s="2">
        <v>2.6687500000000002</v>
      </c>
    </row>
    <row r="78" spans="1:26" x14ac:dyDescent="0.25">
      <c r="J78">
        <v>3</v>
      </c>
      <c r="K78" s="55">
        <v>5.5824999999999996</v>
      </c>
      <c r="L78" s="2">
        <v>7.4625000000000004</v>
      </c>
      <c r="M78" s="2">
        <v>10.794285714285714</v>
      </c>
      <c r="N78" s="2">
        <v>13.285</v>
      </c>
      <c r="O78" s="2">
        <v>15.132500000000002</v>
      </c>
      <c r="U78">
        <v>3</v>
      </c>
      <c r="V78" s="55">
        <v>2.8325</v>
      </c>
      <c r="W78" s="2">
        <v>3.0175000000000001</v>
      </c>
      <c r="X78" s="2">
        <v>2.7814285714285716</v>
      </c>
      <c r="Y78" s="2">
        <v>2.7075</v>
      </c>
      <c r="Z78" s="2">
        <v>2.7075</v>
      </c>
    </row>
    <row r="79" spans="1:26" x14ac:dyDescent="0.25">
      <c r="A79" t="s">
        <v>147</v>
      </c>
      <c r="C79" t="s">
        <v>149</v>
      </c>
      <c r="J79">
        <v>4</v>
      </c>
      <c r="K79" s="55">
        <v>5.6987499999999995</v>
      </c>
      <c r="L79" s="2">
        <v>7.6187500000000004</v>
      </c>
      <c r="M79" s="2">
        <v>11.040714285714285</v>
      </c>
      <c r="N79" s="2">
        <v>13.5625</v>
      </c>
      <c r="O79" s="2">
        <v>15.448750000000002</v>
      </c>
      <c r="U79">
        <v>4</v>
      </c>
      <c r="V79" s="55">
        <v>2.8737500000000002</v>
      </c>
      <c r="W79" s="2">
        <v>3.0612500000000002</v>
      </c>
      <c r="X79" s="2">
        <v>2.8135714285714286</v>
      </c>
      <c r="Y79" s="2">
        <v>2.7462499999999999</v>
      </c>
      <c r="Z79" s="2">
        <v>2.7462499999999999</v>
      </c>
    </row>
    <row r="80" spans="1:26" x14ac:dyDescent="0.25">
      <c r="A80">
        <v>-12</v>
      </c>
      <c r="B80">
        <v>120</v>
      </c>
      <c r="C80">
        <f>VLOOKUP(A80,$J$99:$O$140,3,FALSE)</f>
        <v>4.5362499999999999</v>
      </c>
      <c r="D80">
        <f>VLOOKUP(A80,$U$99:$Z$140,$E$61,FALSE)</f>
        <v>1.8412499999999998</v>
      </c>
      <c r="J80">
        <v>5</v>
      </c>
      <c r="K80" s="55">
        <v>5.8149999999999995</v>
      </c>
      <c r="L80" s="2">
        <v>7.7750000000000004</v>
      </c>
      <c r="M80" s="2">
        <v>11.287142857142857</v>
      </c>
      <c r="N80" s="2">
        <v>13.84</v>
      </c>
      <c r="O80" s="2">
        <v>15.765000000000002</v>
      </c>
      <c r="U80">
        <v>5</v>
      </c>
      <c r="V80" s="55">
        <v>2.915</v>
      </c>
      <c r="W80" s="2">
        <v>3.1050000000000004</v>
      </c>
      <c r="X80" s="2">
        <v>2.8457142857142856</v>
      </c>
      <c r="Y80" s="2">
        <v>2.7850000000000001</v>
      </c>
      <c r="Z80" s="2">
        <v>2.7850000000000001</v>
      </c>
    </row>
    <row r="81" spans="1:26" x14ac:dyDescent="0.25">
      <c r="A81">
        <v>-7</v>
      </c>
      <c r="C81">
        <f t="shared" ref="C81:C84" si="10">VLOOKUP(A81,$J$99:$O$140,3,FALSE)</f>
        <v>5.23</v>
      </c>
      <c r="D81">
        <f t="shared" ref="D81:D84" si="11">VLOOKUP(A81,$U$99:$Z$140,$E$61,FALSE)</f>
        <v>2.0099999999999998</v>
      </c>
      <c r="J81">
        <v>6</v>
      </c>
      <c r="K81" s="55">
        <v>5.9312499999999995</v>
      </c>
      <c r="L81" s="2">
        <v>7.9312500000000004</v>
      </c>
      <c r="M81" s="2">
        <v>11.533571428571427</v>
      </c>
      <c r="N81" s="2">
        <v>14.1175</v>
      </c>
      <c r="O81" s="2">
        <v>16.081250000000004</v>
      </c>
      <c r="U81">
        <v>6</v>
      </c>
      <c r="V81" s="55">
        <v>2.9562499999999998</v>
      </c>
      <c r="W81" s="2">
        <v>3.1487500000000002</v>
      </c>
      <c r="X81" s="2">
        <v>2.8778571428571431</v>
      </c>
      <c r="Y81" s="2">
        <v>2.82375</v>
      </c>
      <c r="Z81" s="2">
        <v>2.82375</v>
      </c>
    </row>
    <row r="82" spans="1:26" x14ac:dyDescent="0.25">
      <c r="A82">
        <v>2</v>
      </c>
      <c r="C82">
        <f t="shared" si="10"/>
        <v>6.4787500000000007</v>
      </c>
      <c r="D82">
        <f t="shared" si="11"/>
        <v>2.3137499999999998</v>
      </c>
      <c r="J82">
        <v>7</v>
      </c>
      <c r="K82" s="55">
        <v>6.0474999999999994</v>
      </c>
      <c r="L82" s="2">
        <v>8.0875000000000004</v>
      </c>
      <c r="M82" s="2">
        <v>11.78</v>
      </c>
      <c r="N82" s="2">
        <v>14.395000000000001</v>
      </c>
      <c r="O82" s="2">
        <v>16.397500000000001</v>
      </c>
      <c r="U82">
        <v>7</v>
      </c>
      <c r="V82" s="55">
        <v>2.9975000000000001</v>
      </c>
      <c r="W82" s="2">
        <v>3.1925000000000003</v>
      </c>
      <c r="X82" s="2">
        <v>2.91</v>
      </c>
      <c r="Y82" s="2">
        <v>2.8624999999999998</v>
      </c>
      <c r="Z82" s="2">
        <v>2.8624999999999998</v>
      </c>
    </row>
    <row r="83" spans="1:26" x14ac:dyDescent="0.25">
      <c r="A83">
        <v>7</v>
      </c>
      <c r="C83">
        <f t="shared" si="10"/>
        <v>7.1725000000000012</v>
      </c>
      <c r="D83">
        <f t="shared" si="11"/>
        <v>2.4824999999999995</v>
      </c>
      <c r="J83">
        <v>8</v>
      </c>
      <c r="K83" s="55">
        <v>6.1637499999999994</v>
      </c>
      <c r="L83" s="2">
        <v>8.2437500000000004</v>
      </c>
      <c r="M83" s="2">
        <v>12.026428571428571</v>
      </c>
      <c r="N83" s="2">
        <v>14.672500000000001</v>
      </c>
      <c r="O83" s="2">
        <v>16.713750000000005</v>
      </c>
      <c r="U83">
        <v>8</v>
      </c>
      <c r="V83" s="55">
        <v>3.0387500000000003</v>
      </c>
      <c r="W83" s="2">
        <v>3.2362500000000001</v>
      </c>
      <c r="X83" s="2">
        <v>2.9421428571428572</v>
      </c>
      <c r="Y83" s="2">
        <v>2.9012500000000001</v>
      </c>
      <c r="Z83" s="2">
        <v>2.9012500000000001</v>
      </c>
    </row>
    <row r="84" spans="1:26" x14ac:dyDescent="0.25">
      <c r="A84">
        <v>12</v>
      </c>
      <c r="C84">
        <f t="shared" si="10"/>
        <v>7.8662500000000009</v>
      </c>
      <c r="D84">
        <f t="shared" si="11"/>
        <v>2.6512499999999992</v>
      </c>
      <c r="J84">
        <v>9</v>
      </c>
      <c r="K84" s="55">
        <v>6.2799999999999994</v>
      </c>
      <c r="L84" s="2">
        <v>8.4</v>
      </c>
      <c r="M84" s="2">
        <v>12.272857142857141</v>
      </c>
      <c r="N84" s="2">
        <v>14.950000000000001</v>
      </c>
      <c r="O84" s="2">
        <v>17.03</v>
      </c>
      <c r="U84">
        <v>9</v>
      </c>
      <c r="V84" s="55">
        <v>3.08</v>
      </c>
      <c r="W84" s="2">
        <v>3.2800000000000002</v>
      </c>
      <c r="X84" s="2">
        <v>2.9742857142857142</v>
      </c>
      <c r="Y84" s="2">
        <v>2.94</v>
      </c>
      <c r="Z84" s="2">
        <v>2.94</v>
      </c>
    </row>
    <row r="85" spans="1:26" x14ac:dyDescent="0.25">
      <c r="J85">
        <v>10</v>
      </c>
      <c r="K85" s="55">
        <v>6.3962499999999993</v>
      </c>
      <c r="L85" s="2">
        <v>8.5562500000000004</v>
      </c>
      <c r="M85" s="2">
        <v>12.519285714285715</v>
      </c>
      <c r="N85" s="2">
        <v>15.227500000000001</v>
      </c>
      <c r="O85" s="2">
        <v>17.346250000000005</v>
      </c>
      <c r="U85">
        <v>10</v>
      </c>
      <c r="V85" s="55">
        <v>3.1212499999999999</v>
      </c>
      <c r="W85" s="2">
        <v>3.3237500000000004</v>
      </c>
      <c r="X85" s="2">
        <v>3.0064285714285717</v>
      </c>
      <c r="Y85" s="2">
        <v>2.9787499999999998</v>
      </c>
      <c r="Z85" s="2">
        <v>2.9787499999999998</v>
      </c>
    </row>
    <row r="86" spans="1:26" x14ac:dyDescent="0.25">
      <c r="J86">
        <v>11</v>
      </c>
      <c r="K86" s="55">
        <v>6.5124999999999993</v>
      </c>
      <c r="L86" s="2">
        <v>8.7125000000000004</v>
      </c>
      <c r="M86" s="2">
        <v>12.765714285714285</v>
      </c>
      <c r="N86" s="2">
        <v>15.505000000000001</v>
      </c>
      <c r="O86" s="2">
        <v>17.662500000000001</v>
      </c>
      <c r="U86">
        <v>11</v>
      </c>
      <c r="V86" s="55">
        <v>3.1625000000000001</v>
      </c>
      <c r="W86" s="2">
        <v>3.3675000000000002</v>
      </c>
      <c r="X86" s="2">
        <v>3.0385714285714287</v>
      </c>
      <c r="Y86" s="2">
        <v>3.0175000000000001</v>
      </c>
      <c r="Z86" s="2">
        <v>3.0175000000000001</v>
      </c>
    </row>
    <row r="87" spans="1:26" x14ac:dyDescent="0.25">
      <c r="A87" t="s">
        <v>145</v>
      </c>
      <c r="J87">
        <v>12</v>
      </c>
      <c r="K87" s="55">
        <v>6.6287499999999993</v>
      </c>
      <c r="L87" s="2">
        <v>8.8687500000000004</v>
      </c>
      <c r="M87" s="2">
        <v>13.012142857142855</v>
      </c>
      <c r="N87" s="2">
        <v>15.782500000000002</v>
      </c>
      <c r="O87" s="2">
        <v>17.978750000000005</v>
      </c>
      <c r="U87">
        <v>12</v>
      </c>
      <c r="V87" s="55">
        <v>3.2037500000000003</v>
      </c>
      <c r="W87" s="2">
        <v>3.4112500000000003</v>
      </c>
      <c r="X87" s="2">
        <v>3.0707142857142857</v>
      </c>
      <c r="Y87" s="2">
        <v>3.0562499999999999</v>
      </c>
      <c r="Z87" s="2">
        <v>3.0562499999999999</v>
      </c>
    </row>
    <row r="88" spans="1:26" x14ac:dyDescent="0.25">
      <c r="J88">
        <v>13</v>
      </c>
      <c r="K88" s="55">
        <v>6.7449999999999992</v>
      </c>
      <c r="L88" s="2">
        <v>9.0250000000000004</v>
      </c>
      <c r="M88" s="2">
        <v>13.258571428571429</v>
      </c>
      <c r="N88" s="2">
        <v>16.060000000000002</v>
      </c>
      <c r="O88" s="2">
        <v>18.295000000000002</v>
      </c>
      <c r="U88">
        <v>13</v>
      </c>
      <c r="V88" s="55">
        <v>3.2450000000000001</v>
      </c>
      <c r="W88" s="2">
        <v>3.4550000000000001</v>
      </c>
      <c r="X88" s="2">
        <v>3.1028571428571432</v>
      </c>
      <c r="Y88" s="2">
        <v>3.0949999999999998</v>
      </c>
      <c r="Z88" s="2">
        <v>3.0949999999999998</v>
      </c>
    </row>
    <row r="89" spans="1:26" x14ac:dyDescent="0.25">
      <c r="A89" t="s">
        <v>147</v>
      </c>
      <c r="C89" t="s">
        <v>150</v>
      </c>
      <c r="E89">
        <v>4</v>
      </c>
      <c r="J89">
        <v>14</v>
      </c>
      <c r="K89" s="55">
        <v>6.7971428571428563</v>
      </c>
      <c r="L89" s="2">
        <v>9.137142857142857</v>
      </c>
      <c r="M89" s="2">
        <v>13.408775510204082</v>
      </c>
      <c r="N89" s="2">
        <v>16.240000000000002</v>
      </c>
      <c r="O89" s="2">
        <v>18.525714285714287</v>
      </c>
      <c r="U89">
        <v>14</v>
      </c>
      <c r="V89" s="55">
        <v>3.3142857142857145</v>
      </c>
      <c r="W89" s="2">
        <v>3.5171428571428573</v>
      </c>
      <c r="X89" s="2">
        <v>3.1767346938775511</v>
      </c>
      <c r="Y89" s="2">
        <v>3.1742857142857139</v>
      </c>
      <c r="Z89" s="2">
        <v>3.1585714285714284</v>
      </c>
    </row>
    <row r="90" spans="1:26" x14ac:dyDescent="0.25">
      <c r="A90">
        <v>-12</v>
      </c>
      <c r="B90">
        <v>111</v>
      </c>
      <c r="C90">
        <v>7.3174999999999999</v>
      </c>
      <c r="D90">
        <f>VLOOKUP(A90,$U$9:$Z$50,$E$89,FALSE)</f>
        <v>2.67625</v>
      </c>
      <c r="J90">
        <v>15</v>
      </c>
      <c r="K90" s="55">
        <v>6.8492857142857142</v>
      </c>
      <c r="L90" s="2">
        <v>9.2492857142857154</v>
      </c>
      <c r="M90" s="2">
        <v>13.558979591836735</v>
      </c>
      <c r="N90" s="2">
        <v>16.420000000000002</v>
      </c>
      <c r="O90" s="2">
        <v>18.756428571428572</v>
      </c>
      <c r="U90">
        <v>15</v>
      </c>
      <c r="V90" s="55">
        <v>3.3835714285714285</v>
      </c>
      <c r="W90" s="2">
        <v>3.5792857142857142</v>
      </c>
      <c r="X90" s="2">
        <v>3.2506122448979595</v>
      </c>
      <c r="Y90" s="2">
        <v>3.2535714285714286</v>
      </c>
      <c r="Z90" s="2">
        <v>3.222142857142857</v>
      </c>
    </row>
    <row r="91" spans="1:26" x14ac:dyDescent="0.25">
      <c r="A91">
        <v>-7</v>
      </c>
      <c r="C91">
        <v>8.43</v>
      </c>
      <c r="D91">
        <f t="shared" ref="D91:D93" si="12">VLOOKUP(A91,$U$9:$Z$50,$E$89,FALSE)</f>
        <v>2.92</v>
      </c>
      <c r="J91">
        <v>16</v>
      </c>
      <c r="K91" s="55">
        <v>6.9014285714285712</v>
      </c>
      <c r="L91" s="2">
        <v>9.3614285714285721</v>
      </c>
      <c r="M91" s="2">
        <v>13.709183673469388</v>
      </c>
      <c r="N91" s="2">
        <v>16.600000000000001</v>
      </c>
      <c r="O91" s="2">
        <v>18.987142857142857</v>
      </c>
      <c r="U91">
        <v>16</v>
      </c>
      <c r="V91" s="55">
        <v>3.4528571428571428</v>
      </c>
      <c r="W91" s="2">
        <v>3.6414285714285715</v>
      </c>
      <c r="X91" s="2">
        <v>3.3244897959183675</v>
      </c>
      <c r="Y91" s="2">
        <v>3.3328571428571427</v>
      </c>
      <c r="Z91" s="2">
        <v>3.2857142857142856</v>
      </c>
    </row>
    <row r="92" spans="1:26" x14ac:dyDescent="0.25">
      <c r="A92">
        <v>2</v>
      </c>
      <c r="C92">
        <v>10.673571428571428</v>
      </c>
      <c r="D92">
        <f t="shared" si="12"/>
        <v>3.2607142857142857</v>
      </c>
      <c r="J92">
        <v>17</v>
      </c>
      <c r="K92" s="55">
        <v>6.9535714285714283</v>
      </c>
      <c r="L92" s="2">
        <v>9.4735714285714288</v>
      </c>
      <c r="M92" s="2">
        <v>13.859387755102041</v>
      </c>
      <c r="N92" s="2">
        <v>16.78</v>
      </c>
      <c r="O92" s="2">
        <v>19.217857142857145</v>
      </c>
      <c r="U92">
        <v>17</v>
      </c>
      <c r="V92" s="55">
        <v>3.5221428571428572</v>
      </c>
      <c r="W92" s="2">
        <v>3.7035714285714287</v>
      </c>
      <c r="X92" s="2">
        <v>3.3983673469387758</v>
      </c>
      <c r="Y92" s="2">
        <v>3.4121428571428569</v>
      </c>
      <c r="Z92" s="2">
        <v>3.3492857142857142</v>
      </c>
    </row>
    <row r="93" spans="1:26" x14ac:dyDescent="0.25">
      <c r="A93">
        <v>7</v>
      </c>
      <c r="C93">
        <v>11.92</v>
      </c>
      <c r="D93">
        <f t="shared" si="12"/>
        <v>3.45</v>
      </c>
      <c r="J93">
        <v>18</v>
      </c>
      <c r="K93" s="55">
        <v>7.0057142857142853</v>
      </c>
      <c r="L93" s="2">
        <v>9.5857142857142854</v>
      </c>
      <c r="M93" s="2">
        <v>14.009591836734694</v>
      </c>
      <c r="N93" s="2">
        <v>16.96</v>
      </c>
      <c r="O93" s="2">
        <v>19.44857142857143</v>
      </c>
      <c r="U93">
        <v>18</v>
      </c>
      <c r="V93" s="55">
        <v>3.5914285714285716</v>
      </c>
      <c r="W93" s="2">
        <v>3.765714285714286</v>
      </c>
      <c r="X93" s="2">
        <v>3.4722448979591838</v>
      </c>
      <c r="Y93" s="2">
        <v>3.4914285714285711</v>
      </c>
      <c r="Z93" s="2">
        <v>3.4128571428571428</v>
      </c>
    </row>
    <row r="94" spans="1:26" x14ac:dyDescent="0.25">
      <c r="A94">
        <v>12</v>
      </c>
      <c r="C94">
        <v>13.166428571428572</v>
      </c>
      <c r="D94">
        <f>VLOOKUP(A94,$U$9:$Z$50,$E$89,FALSE)</f>
        <v>3.6392857142857142</v>
      </c>
      <c r="J94">
        <v>19</v>
      </c>
      <c r="K94" s="55">
        <v>7.0578571428571433</v>
      </c>
      <c r="L94" s="2">
        <v>9.6978571428571438</v>
      </c>
      <c r="M94" s="2">
        <v>14.159795918367347</v>
      </c>
      <c r="N94" s="2">
        <v>17.14</v>
      </c>
      <c r="O94" s="2">
        <v>19.679285714285715</v>
      </c>
      <c r="U94">
        <v>19</v>
      </c>
      <c r="V94" s="55">
        <v>3.6607142857142856</v>
      </c>
      <c r="W94" s="2">
        <v>3.8278571428571428</v>
      </c>
      <c r="X94" s="2">
        <v>3.5461224489795922</v>
      </c>
      <c r="Y94" s="2">
        <v>3.5707142857142857</v>
      </c>
      <c r="Z94" s="2">
        <v>3.4764285714285714</v>
      </c>
    </row>
    <row r="95" spans="1:26" x14ac:dyDescent="0.25">
      <c r="J95">
        <v>20</v>
      </c>
      <c r="K95" s="55">
        <v>7.11</v>
      </c>
      <c r="L95" s="2">
        <v>9.81</v>
      </c>
      <c r="M95" s="2">
        <v>14.31</v>
      </c>
      <c r="N95" s="2">
        <v>17.32</v>
      </c>
      <c r="O95" s="2">
        <v>19.91</v>
      </c>
      <c r="U95">
        <v>20</v>
      </c>
      <c r="V95" s="55">
        <v>3.73</v>
      </c>
      <c r="W95" s="2">
        <v>3.89</v>
      </c>
      <c r="X95" s="2">
        <v>3.62</v>
      </c>
      <c r="Y95" s="2">
        <v>3.65</v>
      </c>
      <c r="Z95" s="2">
        <v>3.54</v>
      </c>
    </row>
    <row r="96" spans="1:26" x14ac:dyDescent="0.25">
      <c r="A96" t="s">
        <v>45</v>
      </c>
    </row>
    <row r="97" spans="1:26" x14ac:dyDescent="0.25">
      <c r="J97" s="51" t="s">
        <v>153</v>
      </c>
      <c r="U97" s="51" t="s">
        <v>153</v>
      </c>
    </row>
    <row r="98" spans="1:26" x14ac:dyDescent="0.25">
      <c r="A98" t="s">
        <v>147</v>
      </c>
      <c r="C98" t="s">
        <v>150</v>
      </c>
    </row>
    <row r="99" spans="1:26" x14ac:dyDescent="0.25">
      <c r="A99">
        <v>-12</v>
      </c>
      <c r="B99">
        <v>116</v>
      </c>
      <c r="C99">
        <v>7.23</v>
      </c>
      <c r="D99">
        <f>VLOOKUP(A99,$U$54:$Z$95,$E$89,FALSE)</f>
        <v>2.2537500000000001</v>
      </c>
      <c r="J99" s="52" t="s">
        <v>147</v>
      </c>
      <c r="K99" s="53" t="s">
        <v>367</v>
      </c>
      <c r="L99" s="53" t="s">
        <v>368</v>
      </c>
      <c r="M99" s="53" t="s">
        <v>369</v>
      </c>
      <c r="N99" s="53" t="s">
        <v>370</v>
      </c>
      <c r="O99" s="53" t="s">
        <v>371</v>
      </c>
      <c r="U99" s="52" t="s">
        <v>147</v>
      </c>
      <c r="V99" s="53" t="s">
        <v>367</v>
      </c>
      <c r="W99" s="53" t="s">
        <v>368</v>
      </c>
      <c r="X99" s="53" t="s">
        <v>369</v>
      </c>
      <c r="Y99" s="53" t="s">
        <v>370</v>
      </c>
      <c r="Z99" s="53" t="s">
        <v>371</v>
      </c>
    </row>
    <row r="100" spans="1:26" x14ac:dyDescent="0.25">
      <c r="A100">
        <v>-7</v>
      </c>
      <c r="C100">
        <v>8.33</v>
      </c>
      <c r="D100">
        <f t="shared" ref="D100:D103" si="13">VLOOKUP(A100,$U$54:$Z$95,$E$89,FALSE)</f>
        <v>2.46</v>
      </c>
      <c r="J100">
        <v>-20</v>
      </c>
      <c r="K100" s="54">
        <v>2.75</v>
      </c>
      <c r="L100" s="2">
        <v>3.42625</v>
      </c>
      <c r="M100" s="2">
        <v>4.5475000000000003</v>
      </c>
      <c r="N100" s="2">
        <v>6.46</v>
      </c>
      <c r="O100" s="2">
        <v>7.0075000000000003</v>
      </c>
      <c r="U100">
        <v>-20</v>
      </c>
      <c r="V100" s="54">
        <v>1.4774999999999998</v>
      </c>
      <c r="W100" s="2">
        <v>1.57125</v>
      </c>
      <c r="X100" s="2">
        <v>1.6150000000000002</v>
      </c>
      <c r="Y100" s="2">
        <v>1.4537500000000001</v>
      </c>
      <c r="Z100" s="2">
        <v>1.4437500000000001</v>
      </c>
    </row>
    <row r="101" spans="1:26" x14ac:dyDescent="0.25">
      <c r="A101">
        <v>2</v>
      </c>
      <c r="C101">
        <v>10.547857142857143</v>
      </c>
      <c r="D101">
        <f t="shared" si="13"/>
        <v>2.7492857142857146</v>
      </c>
      <c r="J101">
        <v>-19</v>
      </c>
      <c r="K101" s="55">
        <v>2.86</v>
      </c>
      <c r="L101" s="2">
        <v>3.5649999999999999</v>
      </c>
      <c r="M101" s="2">
        <v>4.7300000000000004</v>
      </c>
      <c r="N101" s="2">
        <v>6.72</v>
      </c>
      <c r="O101" s="2">
        <v>7.29</v>
      </c>
      <c r="U101">
        <v>-19</v>
      </c>
      <c r="V101" s="55">
        <v>1.5099999999999998</v>
      </c>
      <c r="W101" s="2">
        <v>1.605</v>
      </c>
      <c r="X101" s="2">
        <v>1.6500000000000001</v>
      </c>
      <c r="Y101" s="2">
        <v>1.4850000000000001</v>
      </c>
      <c r="Z101" s="2">
        <v>1.4750000000000001</v>
      </c>
    </row>
    <row r="102" spans="1:26" x14ac:dyDescent="0.25">
      <c r="A102">
        <v>7</v>
      </c>
      <c r="C102">
        <v>11.78</v>
      </c>
      <c r="D102">
        <f t="shared" si="13"/>
        <v>2.91</v>
      </c>
      <c r="J102">
        <v>-18</v>
      </c>
      <c r="K102" s="55">
        <v>2.9699999999999998</v>
      </c>
      <c r="L102" s="2">
        <v>3.7037499999999999</v>
      </c>
      <c r="M102" s="2">
        <v>4.9124999999999996</v>
      </c>
      <c r="N102" s="2">
        <v>6.9799999999999995</v>
      </c>
      <c r="O102" s="2">
        <v>7.5724999999999998</v>
      </c>
      <c r="U102">
        <v>-18</v>
      </c>
      <c r="V102" s="55">
        <v>1.5425</v>
      </c>
      <c r="W102" s="2">
        <v>1.6387500000000002</v>
      </c>
      <c r="X102" s="2">
        <v>1.6850000000000001</v>
      </c>
      <c r="Y102" s="2">
        <v>1.5162500000000001</v>
      </c>
      <c r="Z102" s="2">
        <v>1.5062500000000001</v>
      </c>
    </row>
    <row r="103" spans="1:26" x14ac:dyDescent="0.25">
      <c r="A103">
        <v>12</v>
      </c>
      <c r="C103">
        <v>13.012142857142855</v>
      </c>
      <c r="D103">
        <f t="shared" si="13"/>
        <v>3.0707142857142857</v>
      </c>
      <c r="J103">
        <v>-17</v>
      </c>
      <c r="K103" s="55">
        <v>3.08</v>
      </c>
      <c r="L103" s="2">
        <v>3.8425000000000002</v>
      </c>
      <c r="M103" s="2">
        <v>5.0949999999999998</v>
      </c>
      <c r="N103" s="2">
        <v>7.24</v>
      </c>
      <c r="O103" s="2">
        <v>7.8550000000000004</v>
      </c>
      <c r="U103">
        <v>-17</v>
      </c>
      <c r="V103" s="55">
        <v>1.575</v>
      </c>
      <c r="W103" s="2">
        <v>1.6725000000000001</v>
      </c>
      <c r="X103" s="2">
        <v>1.7200000000000002</v>
      </c>
      <c r="Y103" s="2">
        <v>1.5475000000000001</v>
      </c>
      <c r="Z103" s="2">
        <v>1.5375000000000001</v>
      </c>
    </row>
    <row r="104" spans="1:26" x14ac:dyDescent="0.25">
      <c r="J104">
        <v>-16</v>
      </c>
      <c r="K104" s="55">
        <v>3.19</v>
      </c>
      <c r="L104" s="2">
        <v>3.9812500000000002</v>
      </c>
      <c r="M104" s="2">
        <v>5.2774999999999999</v>
      </c>
      <c r="N104" s="2">
        <v>7.5</v>
      </c>
      <c r="O104" s="2">
        <v>8.1374999999999993</v>
      </c>
      <c r="U104">
        <v>-16</v>
      </c>
      <c r="V104" s="55">
        <v>1.6074999999999999</v>
      </c>
      <c r="W104" s="2">
        <v>1.70625</v>
      </c>
      <c r="X104" s="2">
        <v>1.7550000000000001</v>
      </c>
      <c r="Y104" s="2">
        <v>1.5787500000000001</v>
      </c>
      <c r="Z104" s="2">
        <v>1.5687500000000001</v>
      </c>
    </row>
    <row r="105" spans="1:26" x14ac:dyDescent="0.25">
      <c r="A105" t="s">
        <v>153</v>
      </c>
      <c r="J105">
        <v>-15</v>
      </c>
      <c r="K105" s="55">
        <v>3.3</v>
      </c>
      <c r="L105" s="2">
        <v>4.12</v>
      </c>
      <c r="M105" s="2">
        <v>5.46</v>
      </c>
      <c r="N105" s="2">
        <v>7.76</v>
      </c>
      <c r="O105" s="2">
        <v>8.42</v>
      </c>
      <c r="U105">
        <v>-15</v>
      </c>
      <c r="V105" s="55">
        <v>1.64</v>
      </c>
      <c r="W105" s="2">
        <v>1.74</v>
      </c>
      <c r="X105" s="2">
        <v>1.79</v>
      </c>
      <c r="Y105" s="2">
        <v>1.61</v>
      </c>
      <c r="Z105" s="2">
        <v>1.6</v>
      </c>
    </row>
    <row r="106" spans="1:26" x14ac:dyDescent="0.25">
      <c r="J106">
        <v>-14</v>
      </c>
      <c r="K106" s="55">
        <v>3.4099999999999997</v>
      </c>
      <c r="L106" s="2">
        <v>4.25875</v>
      </c>
      <c r="M106" s="2">
        <v>5.6425000000000001</v>
      </c>
      <c r="N106" s="2">
        <v>8.02</v>
      </c>
      <c r="O106" s="2">
        <v>8.7025000000000006</v>
      </c>
      <c r="U106">
        <v>-14</v>
      </c>
      <c r="V106" s="55">
        <v>1.6724999999999999</v>
      </c>
      <c r="W106" s="2">
        <v>1.7737499999999999</v>
      </c>
      <c r="X106" s="2">
        <v>1.825</v>
      </c>
      <c r="Y106" s="2">
        <v>1.6412500000000001</v>
      </c>
      <c r="Z106" s="2">
        <v>1.6312500000000001</v>
      </c>
    </row>
    <row r="107" spans="1:26" x14ac:dyDescent="0.25">
      <c r="A107" t="s">
        <v>147</v>
      </c>
      <c r="C107" t="s">
        <v>150</v>
      </c>
      <c r="J107">
        <v>-13</v>
      </c>
      <c r="K107" s="55">
        <v>3.5199999999999996</v>
      </c>
      <c r="L107" s="2">
        <v>4.3975</v>
      </c>
      <c r="M107" s="2">
        <v>5.8250000000000002</v>
      </c>
      <c r="N107" s="2">
        <v>8.2799999999999994</v>
      </c>
      <c r="O107" s="2">
        <v>8.9849999999999994</v>
      </c>
      <c r="U107">
        <v>-13</v>
      </c>
      <c r="V107" s="55">
        <v>1.7049999999999998</v>
      </c>
      <c r="W107" s="2">
        <v>1.8074999999999999</v>
      </c>
      <c r="X107" s="2">
        <v>1.8599999999999999</v>
      </c>
      <c r="Y107" s="2">
        <v>1.6725000000000001</v>
      </c>
      <c r="Z107" s="2">
        <v>1.6625000000000001</v>
      </c>
    </row>
    <row r="108" spans="1:26" x14ac:dyDescent="0.25">
      <c r="A108">
        <v>-12</v>
      </c>
      <c r="B108">
        <v>121</v>
      </c>
      <c r="C108">
        <v>6.0075000000000003</v>
      </c>
      <c r="D108">
        <f>VLOOKUP(A108,$U$99:$Z$140,$E$89,FALSE)</f>
        <v>1.895</v>
      </c>
      <c r="J108">
        <v>-12</v>
      </c>
      <c r="K108" s="55">
        <v>3.63</v>
      </c>
      <c r="L108" s="2">
        <v>4.5362499999999999</v>
      </c>
      <c r="M108" s="2">
        <v>6.0075000000000003</v>
      </c>
      <c r="N108" s="2">
        <v>8.5399999999999991</v>
      </c>
      <c r="O108" s="2">
        <v>9.2675000000000001</v>
      </c>
      <c r="U108">
        <v>-12</v>
      </c>
      <c r="V108" s="55">
        <v>1.7374999999999998</v>
      </c>
      <c r="W108" s="2">
        <v>1.8412499999999998</v>
      </c>
      <c r="X108" s="2">
        <v>1.895</v>
      </c>
      <c r="Y108" s="2">
        <v>1.7037500000000001</v>
      </c>
      <c r="Z108" s="2">
        <v>1.6937500000000001</v>
      </c>
    </row>
    <row r="109" spans="1:26" x14ac:dyDescent="0.25">
      <c r="A109">
        <v>-7</v>
      </c>
      <c r="C109">
        <v>6.92</v>
      </c>
      <c r="D109">
        <f t="shared" ref="D109:D111" si="14">VLOOKUP(A109,$U$99:$Z$140,$E$89,FALSE)</f>
        <v>2.0699999999999998</v>
      </c>
      <c r="J109">
        <v>-11</v>
      </c>
      <c r="K109" s="55">
        <v>3.7399999999999998</v>
      </c>
      <c r="L109" s="2">
        <v>4.6750000000000007</v>
      </c>
      <c r="M109" s="2">
        <v>6.1899999999999995</v>
      </c>
      <c r="N109" s="2">
        <v>8.8000000000000007</v>
      </c>
      <c r="O109" s="2">
        <v>9.5500000000000007</v>
      </c>
      <c r="U109">
        <v>-11</v>
      </c>
      <c r="V109" s="55">
        <v>1.77</v>
      </c>
      <c r="W109" s="2">
        <v>1.875</v>
      </c>
      <c r="X109" s="2">
        <v>1.93</v>
      </c>
      <c r="Y109" s="2">
        <v>1.7350000000000001</v>
      </c>
      <c r="Z109" s="2">
        <v>1.7250000000000001</v>
      </c>
    </row>
    <row r="110" spans="1:26" x14ac:dyDescent="0.25">
      <c r="A110">
        <v>2</v>
      </c>
      <c r="C110">
        <v>8.8357142857142854</v>
      </c>
      <c r="D110">
        <f t="shared" si="14"/>
        <v>2.3142857142857145</v>
      </c>
      <c r="J110">
        <v>-10</v>
      </c>
      <c r="K110" s="55">
        <v>3.8499999999999996</v>
      </c>
      <c r="L110" s="2">
        <v>4.8137500000000006</v>
      </c>
      <c r="M110" s="2">
        <v>6.3724999999999996</v>
      </c>
      <c r="N110" s="2">
        <v>9.06</v>
      </c>
      <c r="O110" s="2">
        <v>9.8324999999999996</v>
      </c>
      <c r="U110">
        <v>-10</v>
      </c>
      <c r="V110" s="55">
        <v>1.8025</v>
      </c>
      <c r="W110" s="2">
        <v>1.9087499999999999</v>
      </c>
      <c r="X110" s="2">
        <v>1.9649999999999999</v>
      </c>
      <c r="Y110" s="2">
        <v>1.7662500000000001</v>
      </c>
      <c r="Z110" s="2">
        <v>1.7562500000000001</v>
      </c>
    </row>
    <row r="111" spans="1:26" x14ac:dyDescent="0.25">
      <c r="A111">
        <v>7</v>
      </c>
      <c r="C111">
        <v>9.9</v>
      </c>
      <c r="D111">
        <f t="shared" si="14"/>
        <v>2.4500000000000002</v>
      </c>
      <c r="J111">
        <v>-9</v>
      </c>
      <c r="K111" s="55">
        <v>3.96</v>
      </c>
      <c r="L111" s="2">
        <v>4.9525000000000006</v>
      </c>
      <c r="M111" s="2">
        <v>6.5549999999999997</v>
      </c>
      <c r="N111" s="2">
        <v>9.32</v>
      </c>
      <c r="O111" s="2">
        <v>10.115</v>
      </c>
      <c r="U111">
        <v>-9</v>
      </c>
      <c r="V111" s="55">
        <v>1.835</v>
      </c>
      <c r="W111" s="2">
        <v>1.9424999999999999</v>
      </c>
      <c r="X111" s="2">
        <v>2</v>
      </c>
      <c r="Y111" s="2">
        <v>1.7975000000000001</v>
      </c>
      <c r="Z111" s="2">
        <v>1.7875000000000001</v>
      </c>
    </row>
    <row r="112" spans="1:26" x14ac:dyDescent="0.25">
      <c r="A112">
        <v>12</v>
      </c>
      <c r="C112">
        <v>10.964285714285715</v>
      </c>
      <c r="D112">
        <f>VLOOKUP(A112,$U$99:$Z$140,$E$89,FALSE)</f>
        <v>2.5857142857142859</v>
      </c>
      <c r="J112">
        <v>-8</v>
      </c>
      <c r="K112" s="55">
        <v>4.0699999999999994</v>
      </c>
      <c r="L112" s="2">
        <v>5.0912500000000005</v>
      </c>
      <c r="M112" s="2">
        <v>6.7374999999999998</v>
      </c>
      <c r="N112" s="2">
        <v>9.58</v>
      </c>
      <c r="O112" s="2">
        <v>10.397499999999999</v>
      </c>
      <c r="U112">
        <v>-8</v>
      </c>
      <c r="V112" s="55">
        <v>1.8674999999999999</v>
      </c>
      <c r="W112" s="2">
        <v>1.9762499999999998</v>
      </c>
      <c r="X112" s="2">
        <v>2.0349999999999997</v>
      </c>
      <c r="Y112" s="2">
        <v>1.8287500000000001</v>
      </c>
      <c r="Z112" s="2">
        <v>1.8187500000000001</v>
      </c>
    </row>
    <row r="113" spans="1:26" x14ac:dyDescent="0.25">
      <c r="J113">
        <v>-7</v>
      </c>
      <c r="K113" s="55">
        <v>4.18</v>
      </c>
      <c r="L113" s="2">
        <v>5.23</v>
      </c>
      <c r="M113" s="2">
        <v>6.92</v>
      </c>
      <c r="N113" s="2">
        <v>9.84</v>
      </c>
      <c r="O113" s="2">
        <v>10.68</v>
      </c>
      <c r="U113">
        <v>-7</v>
      </c>
      <c r="V113" s="55">
        <v>1.9</v>
      </c>
      <c r="W113" s="2">
        <v>2.0099999999999998</v>
      </c>
      <c r="X113" s="2">
        <v>2.0699999999999998</v>
      </c>
      <c r="Y113" s="2">
        <v>1.86</v>
      </c>
      <c r="Z113" s="2">
        <v>1.85</v>
      </c>
    </row>
    <row r="114" spans="1:26" x14ac:dyDescent="0.25">
      <c r="J114">
        <v>-6</v>
      </c>
      <c r="K114" s="55">
        <v>4.29</v>
      </c>
      <c r="L114" s="2">
        <v>5.3687500000000004</v>
      </c>
      <c r="M114" s="2">
        <v>7.1328571428571426</v>
      </c>
      <c r="N114" s="2">
        <v>10.1</v>
      </c>
      <c r="O114" s="2">
        <v>10.962499999999999</v>
      </c>
      <c r="U114">
        <v>-6</v>
      </c>
      <c r="V114" s="55">
        <v>1.9324999999999999</v>
      </c>
      <c r="W114" s="2">
        <v>2.0437499999999997</v>
      </c>
      <c r="X114" s="2">
        <v>2.097142857142857</v>
      </c>
      <c r="Y114" s="2">
        <v>1.8912500000000001</v>
      </c>
      <c r="Z114" s="2">
        <v>1.8812500000000001</v>
      </c>
    </row>
    <row r="115" spans="1:26" x14ac:dyDescent="0.25">
      <c r="A115" t="s">
        <v>145</v>
      </c>
      <c r="J115">
        <v>-5</v>
      </c>
      <c r="K115" s="55">
        <v>4.3999999999999995</v>
      </c>
      <c r="L115" s="2">
        <v>5.5075000000000003</v>
      </c>
      <c r="M115" s="2">
        <v>7.3457142857142861</v>
      </c>
      <c r="N115" s="2">
        <v>10.36</v>
      </c>
      <c r="O115" s="2">
        <v>11.244999999999999</v>
      </c>
      <c r="U115">
        <v>-5</v>
      </c>
      <c r="V115" s="55">
        <v>1.9649999999999999</v>
      </c>
      <c r="W115" s="2">
        <v>2.0774999999999997</v>
      </c>
      <c r="X115" s="2">
        <v>2.1242857142857141</v>
      </c>
      <c r="Y115" s="2">
        <v>1.9225000000000001</v>
      </c>
      <c r="Z115" s="2">
        <v>1.9125000000000001</v>
      </c>
    </row>
    <row r="116" spans="1:26" x14ac:dyDescent="0.25">
      <c r="J116">
        <v>-4</v>
      </c>
      <c r="K116" s="55">
        <v>4.51</v>
      </c>
      <c r="L116" s="2">
        <v>5.6462500000000002</v>
      </c>
      <c r="M116" s="2">
        <v>7.5585714285714287</v>
      </c>
      <c r="N116" s="2">
        <v>10.620000000000001</v>
      </c>
      <c r="O116" s="2">
        <v>11.5275</v>
      </c>
      <c r="U116">
        <v>-4</v>
      </c>
      <c r="V116" s="55">
        <v>1.9975000000000001</v>
      </c>
      <c r="W116" s="2">
        <v>2.1112499999999996</v>
      </c>
      <c r="X116" s="2">
        <v>2.1514285714285712</v>
      </c>
      <c r="Y116" s="2">
        <v>1.9537500000000001</v>
      </c>
      <c r="Z116" s="2">
        <v>1.9437500000000001</v>
      </c>
    </row>
    <row r="117" spans="1:26" x14ac:dyDescent="0.25">
      <c r="A117" t="s">
        <v>147</v>
      </c>
      <c r="C117" t="s">
        <v>151</v>
      </c>
      <c r="E117">
        <v>5</v>
      </c>
      <c r="J117">
        <v>-3</v>
      </c>
      <c r="K117" s="55">
        <v>4.6199999999999992</v>
      </c>
      <c r="L117" s="2">
        <v>5.7850000000000001</v>
      </c>
      <c r="M117" s="2">
        <v>7.7714285714285714</v>
      </c>
      <c r="N117" s="2">
        <v>10.879999999999999</v>
      </c>
      <c r="O117" s="2">
        <v>11.809999999999999</v>
      </c>
      <c r="U117">
        <v>-3</v>
      </c>
      <c r="V117" s="55">
        <v>2.0299999999999998</v>
      </c>
      <c r="W117" s="2">
        <v>2.1449999999999996</v>
      </c>
      <c r="X117" s="2">
        <v>2.1785714285714284</v>
      </c>
      <c r="Y117" s="2">
        <v>1.9850000000000001</v>
      </c>
      <c r="Z117" s="2">
        <v>1.9750000000000001</v>
      </c>
    </row>
    <row r="118" spans="1:26" x14ac:dyDescent="0.25">
      <c r="A118">
        <v>-12</v>
      </c>
      <c r="B118">
        <v>112</v>
      </c>
      <c r="C118">
        <v>9.1999999999999993</v>
      </c>
      <c r="D118">
        <f>VLOOKUP(A118,$U$9:$Z$50,$E$117,FALSE)</f>
        <v>2.4550000000000001</v>
      </c>
      <c r="J118">
        <v>-2</v>
      </c>
      <c r="K118" s="55">
        <v>4.7299999999999995</v>
      </c>
      <c r="L118" s="2">
        <v>5.9237500000000001</v>
      </c>
      <c r="M118" s="2">
        <v>7.9842857142857149</v>
      </c>
      <c r="N118" s="2">
        <v>11.14</v>
      </c>
      <c r="O118" s="2">
        <v>12.092499999999999</v>
      </c>
      <c r="U118">
        <v>-2</v>
      </c>
      <c r="V118" s="55">
        <v>2.0625</v>
      </c>
      <c r="W118" s="2">
        <v>2.1787499999999995</v>
      </c>
      <c r="X118" s="2">
        <v>2.2057142857142855</v>
      </c>
      <c r="Y118" s="2">
        <v>2.0162500000000003</v>
      </c>
      <c r="Z118" s="2">
        <v>2.0062500000000001</v>
      </c>
    </row>
    <row r="119" spans="1:26" x14ac:dyDescent="0.25">
      <c r="A119">
        <v>-7</v>
      </c>
      <c r="C119">
        <v>10.6</v>
      </c>
      <c r="D119">
        <f t="shared" ref="D119:D122" si="15">VLOOKUP(A119,$U$9:$Z$50,$E$117,FALSE)</f>
        <v>2.68</v>
      </c>
      <c r="J119">
        <v>-1</v>
      </c>
      <c r="K119" s="55">
        <v>4.84</v>
      </c>
      <c r="L119" s="2">
        <v>6.0625000000000009</v>
      </c>
      <c r="M119" s="2">
        <v>8.1971428571428575</v>
      </c>
      <c r="N119" s="2">
        <v>11.4</v>
      </c>
      <c r="O119" s="2">
        <v>12.375</v>
      </c>
      <c r="U119">
        <v>-1</v>
      </c>
      <c r="V119" s="55">
        <v>2.0949999999999998</v>
      </c>
      <c r="W119" s="2">
        <v>2.2124999999999995</v>
      </c>
      <c r="X119" s="2">
        <v>2.2328571428571427</v>
      </c>
      <c r="Y119" s="2">
        <v>2.0475000000000003</v>
      </c>
      <c r="Z119" s="2">
        <v>2.0375000000000001</v>
      </c>
    </row>
    <row r="120" spans="1:26" x14ac:dyDescent="0.25">
      <c r="A120">
        <v>2</v>
      </c>
      <c r="C120">
        <v>13.120000000000001</v>
      </c>
      <c r="D120">
        <f t="shared" si="15"/>
        <v>3.0850000000000004</v>
      </c>
      <c r="J120">
        <v>0</v>
      </c>
      <c r="K120" s="55">
        <v>4.9499999999999993</v>
      </c>
      <c r="L120" s="2">
        <v>6.2012500000000008</v>
      </c>
      <c r="M120" s="2">
        <v>8.41</v>
      </c>
      <c r="N120" s="2">
        <v>11.66</v>
      </c>
      <c r="O120" s="2">
        <v>12.657499999999999</v>
      </c>
      <c r="U120">
        <v>0</v>
      </c>
      <c r="V120" s="55">
        <v>2.1274999999999999</v>
      </c>
      <c r="W120" s="2">
        <v>2.2462499999999999</v>
      </c>
      <c r="X120" s="2">
        <v>2.2599999999999998</v>
      </c>
      <c r="Y120" s="2">
        <v>2.0787500000000003</v>
      </c>
      <c r="Z120" s="2">
        <v>2.0687500000000001</v>
      </c>
    </row>
    <row r="121" spans="1:26" x14ac:dyDescent="0.25">
      <c r="A121">
        <v>7</v>
      </c>
      <c r="C121">
        <v>14.52</v>
      </c>
      <c r="D121">
        <f t="shared" si="15"/>
        <v>3.3100000000000005</v>
      </c>
      <c r="J121">
        <v>1</v>
      </c>
      <c r="K121" s="55">
        <v>5.0599999999999996</v>
      </c>
      <c r="L121" s="2">
        <v>6.3400000000000007</v>
      </c>
      <c r="M121" s="2">
        <v>8.6228571428571428</v>
      </c>
      <c r="N121" s="2">
        <v>11.92</v>
      </c>
      <c r="O121" s="2">
        <v>12.94</v>
      </c>
      <c r="U121">
        <v>1</v>
      </c>
      <c r="V121" s="55">
        <v>2.16</v>
      </c>
      <c r="W121" s="2">
        <v>2.2799999999999994</v>
      </c>
      <c r="X121" s="2">
        <v>2.2871428571428574</v>
      </c>
      <c r="Y121" s="2">
        <v>2.1100000000000003</v>
      </c>
      <c r="Z121" s="2">
        <v>2.1</v>
      </c>
    </row>
    <row r="122" spans="1:26" x14ac:dyDescent="0.25">
      <c r="A122">
        <v>12</v>
      </c>
      <c r="C122">
        <v>15.92</v>
      </c>
      <c r="D122">
        <f t="shared" si="15"/>
        <v>3.535000000000001</v>
      </c>
      <c r="J122">
        <v>2</v>
      </c>
      <c r="K122" s="55">
        <v>5.17</v>
      </c>
      <c r="L122" s="2">
        <v>6.4787500000000007</v>
      </c>
      <c r="M122" s="2">
        <v>8.8357142857142854</v>
      </c>
      <c r="N122" s="2">
        <v>12.18</v>
      </c>
      <c r="O122" s="2">
        <v>13.2225</v>
      </c>
      <c r="U122">
        <v>2</v>
      </c>
      <c r="V122" s="55">
        <v>2.1924999999999999</v>
      </c>
      <c r="W122" s="2">
        <v>2.3137499999999998</v>
      </c>
      <c r="X122" s="2">
        <v>2.3142857142857145</v>
      </c>
      <c r="Y122" s="2">
        <v>2.1412500000000003</v>
      </c>
      <c r="Z122" s="2">
        <v>2.1312500000000001</v>
      </c>
    </row>
    <row r="123" spans="1:26" x14ac:dyDescent="0.25">
      <c r="J123">
        <v>3</v>
      </c>
      <c r="K123" s="55">
        <v>5.2799999999999994</v>
      </c>
      <c r="L123" s="2">
        <v>6.6175000000000006</v>
      </c>
      <c r="M123" s="2">
        <v>9.048571428571428</v>
      </c>
      <c r="N123" s="2">
        <v>12.44</v>
      </c>
      <c r="O123" s="2">
        <v>13.504999999999999</v>
      </c>
      <c r="U123">
        <v>3</v>
      </c>
      <c r="V123" s="55">
        <v>2.2249999999999996</v>
      </c>
      <c r="W123" s="2">
        <v>2.3474999999999993</v>
      </c>
      <c r="X123" s="2">
        <v>2.3414285714285716</v>
      </c>
      <c r="Y123" s="2">
        <v>2.1725000000000003</v>
      </c>
      <c r="Z123" s="2">
        <v>2.1625000000000001</v>
      </c>
    </row>
    <row r="124" spans="1:26" x14ac:dyDescent="0.25">
      <c r="A124" t="s">
        <v>45</v>
      </c>
      <c r="J124">
        <v>4</v>
      </c>
      <c r="K124" s="55">
        <v>5.39</v>
      </c>
      <c r="L124" s="2">
        <v>6.7562500000000014</v>
      </c>
      <c r="M124" s="2">
        <v>9.2614285714285707</v>
      </c>
      <c r="N124" s="2">
        <v>12.7</v>
      </c>
      <c r="O124" s="2">
        <v>13.7875</v>
      </c>
      <c r="U124">
        <v>4</v>
      </c>
      <c r="V124" s="55">
        <v>2.2574999999999998</v>
      </c>
      <c r="W124" s="2">
        <v>2.3812499999999996</v>
      </c>
      <c r="X124" s="2">
        <v>2.3685714285714288</v>
      </c>
      <c r="Y124" s="2">
        <v>2.2037500000000003</v>
      </c>
      <c r="Z124" s="2">
        <v>2.1937500000000001</v>
      </c>
    </row>
    <row r="125" spans="1:26" x14ac:dyDescent="0.25">
      <c r="J125">
        <v>5</v>
      </c>
      <c r="K125" s="55">
        <v>5.5</v>
      </c>
      <c r="L125" s="2">
        <v>6.8950000000000014</v>
      </c>
      <c r="M125" s="2">
        <v>9.4742857142857151</v>
      </c>
      <c r="N125" s="2">
        <v>12.96</v>
      </c>
      <c r="O125" s="2">
        <v>14.07</v>
      </c>
      <c r="U125">
        <v>5</v>
      </c>
      <c r="V125" s="55">
        <v>2.29</v>
      </c>
      <c r="W125" s="2">
        <v>2.4149999999999996</v>
      </c>
      <c r="X125" s="2">
        <v>2.3957142857142859</v>
      </c>
      <c r="Y125" s="2">
        <v>2.2350000000000003</v>
      </c>
      <c r="Z125" s="2">
        <v>2.2250000000000001</v>
      </c>
    </row>
    <row r="126" spans="1:26" x14ac:dyDescent="0.25">
      <c r="A126" t="s">
        <v>147</v>
      </c>
      <c r="C126" t="s">
        <v>151</v>
      </c>
      <c r="J126">
        <v>6</v>
      </c>
      <c r="K126" s="55">
        <v>5.6099999999999994</v>
      </c>
      <c r="L126" s="2">
        <v>7.0337500000000013</v>
      </c>
      <c r="M126" s="2">
        <v>9.6871428571428577</v>
      </c>
      <c r="N126" s="2">
        <v>13.219999999999999</v>
      </c>
      <c r="O126" s="2">
        <v>14.352499999999999</v>
      </c>
      <c r="U126">
        <v>6</v>
      </c>
      <c r="V126" s="55">
        <v>2.3224999999999998</v>
      </c>
      <c r="W126" s="2">
        <v>2.4487499999999995</v>
      </c>
      <c r="X126" s="2">
        <v>2.422857142857143</v>
      </c>
      <c r="Y126" s="2">
        <v>2.2662500000000003</v>
      </c>
      <c r="Z126" s="2">
        <v>2.2562500000000001</v>
      </c>
    </row>
    <row r="127" spans="1:26" x14ac:dyDescent="0.25">
      <c r="A127">
        <v>-12</v>
      </c>
      <c r="B127">
        <v>117</v>
      </c>
      <c r="C127">
        <v>9.1224999999999987</v>
      </c>
      <c r="D127">
        <f>VLOOKUP(A127,$U$54:$Z$95,$E$117,FALSE)</f>
        <v>2.1262499999999998</v>
      </c>
      <c r="J127">
        <v>7</v>
      </c>
      <c r="K127" s="55">
        <v>5.72</v>
      </c>
      <c r="L127" s="2">
        <v>7.1725000000000012</v>
      </c>
      <c r="M127" s="2">
        <v>9.9</v>
      </c>
      <c r="N127" s="2">
        <v>13.48</v>
      </c>
      <c r="O127" s="2">
        <v>14.635</v>
      </c>
      <c r="U127">
        <v>7</v>
      </c>
      <c r="V127" s="55">
        <v>2.355</v>
      </c>
      <c r="W127" s="2">
        <v>2.4824999999999995</v>
      </c>
      <c r="X127" s="2">
        <v>2.4500000000000002</v>
      </c>
      <c r="Y127" s="2">
        <v>2.2975000000000003</v>
      </c>
      <c r="Z127" s="2">
        <v>2.2875000000000001</v>
      </c>
    </row>
    <row r="128" spans="1:26" x14ac:dyDescent="0.25">
      <c r="A128">
        <v>-7</v>
      </c>
      <c r="C128">
        <v>10.51</v>
      </c>
      <c r="D128">
        <f t="shared" ref="D128:D131" si="16">VLOOKUP(A128,$U$54:$Z$95,$E$117,FALSE)</f>
        <v>2.3199999999999998</v>
      </c>
      <c r="J128">
        <v>8</v>
      </c>
      <c r="K128" s="55">
        <v>5.83</v>
      </c>
      <c r="L128" s="2">
        <v>7.3112500000000011</v>
      </c>
      <c r="M128" s="2">
        <v>10.112857142857143</v>
      </c>
      <c r="N128" s="2">
        <v>13.74</v>
      </c>
      <c r="O128" s="2">
        <v>14.9175</v>
      </c>
      <c r="U128">
        <v>8</v>
      </c>
      <c r="V128" s="55">
        <v>2.3875000000000002</v>
      </c>
      <c r="W128" s="2">
        <v>2.5162499999999994</v>
      </c>
      <c r="X128" s="2">
        <v>2.4771428571428573</v>
      </c>
      <c r="Y128" s="2">
        <v>2.3287500000000003</v>
      </c>
      <c r="Z128" s="2">
        <v>2.3187500000000001</v>
      </c>
    </row>
    <row r="129" spans="1:26" x14ac:dyDescent="0.25">
      <c r="A129">
        <v>2</v>
      </c>
      <c r="C129">
        <v>13.0075</v>
      </c>
      <c r="D129">
        <f t="shared" si="16"/>
        <v>2.6687500000000002</v>
      </c>
      <c r="J129">
        <v>9</v>
      </c>
      <c r="K129" s="55">
        <v>5.9399999999999995</v>
      </c>
      <c r="L129" s="2">
        <v>7.4500000000000011</v>
      </c>
      <c r="M129" s="2">
        <v>10.325714285714286</v>
      </c>
      <c r="N129" s="2">
        <v>14</v>
      </c>
      <c r="O129" s="2">
        <v>15.2</v>
      </c>
      <c r="U129">
        <v>9</v>
      </c>
      <c r="V129" s="55">
        <v>2.42</v>
      </c>
      <c r="W129" s="2">
        <v>2.5499999999999994</v>
      </c>
      <c r="X129" s="2">
        <v>2.5042857142857144</v>
      </c>
      <c r="Y129" s="2">
        <v>2.3600000000000003</v>
      </c>
      <c r="Z129" s="2">
        <v>2.35</v>
      </c>
    </row>
    <row r="130" spans="1:26" x14ac:dyDescent="0.25">
      <c r="A130">
        <v>7</v>
      </c>
      <c r="C130">
        <v>14.395000000000001</v>
      </c>
      <c r="D130">
        <f t="shared" si="16"/>
        <v>2.8624999999999998</v>
      </c>
      <c r="J130">
        <v>10</v>
      </c>
      <c r="K130" s="55">
        <v>6.0499999999999989</v>
      </c>
      <c r="L130" s="2">
        <v>7.588750000000001</v>
      </c>
      <c r="M130" s="2">
        <v>10.53857142857143</v>
      </c>
      <c r="N130" s="2">
        <v>14.26</v>
      </c>
      <c r="O130" s="2">
        <v>15.482499999999998</v>
      </c>
      <c r="U130">
        <v>10</v>
      </c>
      <c r="V130" s="55">
        <v>2.4524999999999997</v>
      </c>
      <c r="W130" s="2">
        <v>2.5837499999999993</v>
      </c>
      <c r="X130" s="2">
        <v>2.5314285714285716</v>
      </c>
      <c r="Y130" s="2">
        <v>2.3912500000000003</v>
      </c>
      <c r="Z130" s="2">
        <v>2.3812500000000001</v>
      </c>
    </row>
    <row r="131" spans="1:26" x14ac:dyDescent="0.25">
      <c r="A131">
        <v>12</v>
      </c>
      <c r="C131">
        <v>15.782500000000002</v>
      </c>
      <c r="D131">
        <f t="shared" si="16"/>
        <v>3.0562499999999999</v>
      </c>
      <c r="J131">
        <v>11</v>
      </c>
      <c r="K131" s="55">
        <v>6.1599999999999993</v>
      </c>
      <c r="L131" s="2">
        <v>7.7275000000000009</v>
      </c>
      <c r="M131" s="2">
        <v>10.751428571428573</v>
      </c>
      <c r="N131" s="2">
        <v>14.52</v>
      </c>
      <c r="O131" s="2">
        <v>15.764999999999999</v>
      </c>
      <c r="U131">
        <v>11</v>
      </c>
      <c r="V131" s="55">
        <v>2.4849999999999999</v>
      </c>
      <c r="W131" s="2">
        <v>2.6174999999999993</v>
      </c>
      <c r="X131" s="2">
        <v>2.5585714285714287</v>
      </c>
      <c r="Y131" s="2">
        <v>2.4225000000000003</v>
      </c>
      <c r="Z131" s="2">
        <v>2.4125000000000001</v>
      </c>
    </row>
    <row r="132" spans="1:26" x14ac:dyDescent="0.25">
      <c r="J132">
        <v>12</v>
      </c>
      <c r="K132" s="55">
        <v>6.27</v>
      </c>
      <c r="L132" s="2">
        <v>7.8662500000000009</v>
      </c>
      <c r="M132" s="2">
        <v>10.964285714285715</v>
      </c>
      <c r="N132" s="2">
        <v>14.780000000000001</v>
      </c>
      <c r="O132" s="2">
        <v>16.047499999999999</v>
      </c>
      <c r="U132">
        <v>12</v>
      </c>
      <c r="V132" s="55">
        <v>2.5175000000000001</v>
      </c>
      <c r="W132" s="2">
        <v>2.6512499999999992</v>
      </c>
      <c r="X132" s="2">
        <v>2.5857142857142859</v>
      </c>
      <c r="Y132" s="2">
        <v>2.4537500000000003</v>
      </c>
      <c r="Z132" s="2">
        <v>2.4437500000000001</v>
      </c>
    </row>
    <row r="133" spans="1:26" x14ac:dyDescent="0.25">
      <c r="A133" t="s">
        <v>153</v>
      </c>
      <c r="J133">
        <v>13</v>
      </c>
      <c r="K133" s="55">
        <v>6.379999999999999</v>
      </c>
      <c r="L133" s="2">
        <v>8.0050000000000008</v>
      </c>
      <c r="M133" s="2">
        <v>11.177142857142858</v>
      </c>
      <c r="N133" s="2">
        <v>15.04</v>
      </c>
      <c r="O133" s="2">
        <v>16.329999999999998</v>
      </c>
      <c r="U133">
        <v>13</v>
      </c>
      <c r="V133" s="55">
        <v>2.5499999999999998</v>
      </c>
      <c r="W133" s="2">
        <v>2.6849999999999992</v>
      </c>
      <c r="X133" s="2">
        <v>2.612857142857143</v>
      </c>
      <c r="Y133" s="2">
        <v>2.4850000000000003</v>
      </c>
      <c r="Z133" s="2">
        <v>2.4750000000000001</v>
      </c>
    </row>
    <row r="134" spans="1:26" x14ac:dyDescent="0.25">
      <c r="J134">
        <v>14</v>
      </c>
      <c r="K134" s="55">
        <v>6.4399999999999995</v>
      </c>
      <c r="L134" s="2">
        <v>8.1114285714285721</v>
      </c>
      <c r="M134" s="2">
        <v>11.337551020408164</v>
      </c>
      <c r="N134" s="2">
        <v>15.229999999999999</v>
      </c>
      <c r="O134" s="2">
        <v>16.524285714285714</v>
      </c>
      <c r="U134">
        <v>14</v>
      </c>
      <c r="V134" s="55">
        <v>2.6071428571428572</v>
      </c>
      <c r="W134" s="2">
        <v>2.7414285714285707</v>
      </c>
      <c r="X134" s="2">
        <v>2.6624489795918369</v>
      </c>
      <c r="Y134" s="2">
        <v>2.5671428571428576</v>
      </c>
      <c r="Z134" s="2">
        <v>2.54</v>
      </c>
    </row>
    <row r="135" spans="1:26" x14ac:dyDescent="0.25">
      <c r="A135" t="s">
        <v>147</v>
      </c>
      <c r="C135" t="s">
        <v>151</v>
      </c>
      <c r="J135">
        <v>15</v>
      </c>
      <c r="K135" s="55">
        <v>6.4999999999999991</v>
      </c>
      <c r="L135" s="2">
        <v>8.2178571428571434</v>
      </c>
      <c r="M135" s="2">
        <v>11.497959183673471</v>
      </c>
      <c r="N135" s="2">
        <v>15.42</v>
      </c>
      <c r="O135" s="2">
        <v>16.718571428571426</v>
      </c>
      <c r="U135">
        <v>15</v>
      </c>
      <c r="V135" s="55">
        <v>2.6642857142857141</v>
      </c>
      <c r="W135" s="2">
        <v>2.7978571428571422</v>
      </c>
      <c r="X135" s="2">
        <v>2.7120408163265308</v>
      </c>
      <c r="Y135" s="2">
        <v>2.6492857142857145</v>
      </c>
      <c r="Z135" s="2">
        <v>2.605</v>
      </c>
    </row>
    <row r="136" spans="1:26" x14ac:dyDescent="0.25">
      <c r="A136">
        <v>-12</v>
      </c>
      <c r="B136">
        <v>122</v>
      </c>
      <c r="C136">
        <v>8.5399999999999991</v>
      </c>
      <c r="D136">
        <f>VLOOKUP(A136,$U$99:$Z$140,$E$117,FALSE)</f>
        <v>1.7037500000000001</v>
      </c>
      <c r="J136">
        <v>16</v>
      </c>
      <c r="K136" s="55">
        <v>6.56</v>
      </c>
      <c r="L136" s="2">
        <v>8.3242857142857147</v>
      </c>
      <c r="M136" s="2">
        <v>11.658367346938777</v>
      </c>
      <c r="N136" s="2">
        <v>15.61</v>
      </c>
      <c r="O136" s="2">
        <v>16.912857142857142</v>
      </c>
      <c r="U136">
        <v>16</v>
      </c>
      <c r="V136" s="55">
        <v>2.7214285714285715</v>
      </c>
      <c r="W136" s="2">
        <v>2.8542857142857136</v>
      </c>
      <c r="X136" s="2">
        <v>2.7616326530612247</v>
      </c>
      <c r="Y136" s="2">
        <v>2.7314285714285718</v>
      </c>
      <c r="Z136" s="2">
        <v>2.67</v>
      </c>
    </row>
    <row r="137" spans="1:26" x14ac:dyDescent="0.25">
      <c r="A137">
        <v>-7</v>
      </c>
      <c r="C137">
        <v>9.84</v>
      </c>
      <c r="D137">
        <f t="shared" ref="D137:D140" si="17">VLOOKUP(A137,$U$99:$Z$140,$E$117,FALSE)</f>
        <v>1.86</v>
      </c>
      <c r="J137">
        <v>17</v>
      </c>
      <c r="K137" s="55">
        <v>6.6199999999999992</v>
      </c>
      <c r="L137" s="2">
        <v>8.430714285714286</v>
      </c>
      <c r="M137" s="2">
        <v>11.818775510204082</v>
      </c>
      <c r="N137" s="2">
        <v>15.8</v>
      </c>
      <c r="O137" s="2">
        <v>17.107142857142858</v>
      </c>
      <c r="U137">
        <v>17</v>
      </c>
      <c r="V137" s="55">
        <v>2.7785714285714285</v>
      </c>
      <c r="W137" s="2">
        <v>2.9107142857142856</v>
      </c>
      <c r="X137" s="2">
        <v>2.8112244897959182</v>
      </c>
      <c r="Y137" s="2">
        <v>2.8135714285714286</v>
      </c>
      <c r="Z137" s="2">
        <v>2.7350000000000003</v>
      </c>
    </row>
    <row r="138" spans="1:26" x14ac:dyDescent="0.25">
      <c r="A138">
        <v>2</v>
      </c>
      <c r="C138">
        <v>12.18</v>
      </c>
      <c r="D138">
        <f t="shared" si="17"/>
        <v>2.1412500000000003</v>
      </c>
      <c r="J138">
        <v>18</v>
      </c>
      <c r="K138" s="55">
        <v>6.68</v>
      </c>
      <c r="L138" s="2">
        <v>8.5371428571428574</v>
      </c>
      <c r="M138" s="2">
        <v>11.979183673469388</v>
      </c>
      <c r="N138" s="2">
        <v>15.99</v>
      </c>
      <c r="O138" s="2">
        <v>17.301428571428573</v>
      </c>
      <c r="U138">
        <v>18</v>
      </c>
      <c r="V138" s="55">
        <v>2.8357142857142859</v>
      </c>
      <c r="W138" s="2">
        <v>2.9671428571428571</v>
      </c>
      <c r="X138" s="2">
        <v>2.8608163265306121</v>
      </c>
      <c r="Y138" s="2">
        <v>2.8957142857142859</v>
      </c>
      <c r="Z138" s="2">
        <v>2.8000000000000003</v>
      </c>
    </row>
    <row r="139" spans="1:26" x14ac:dyDescent="0.25">
      <c r="A139">
        <v>7</v>
      </c>
      <c r="C139">
        <v>13.48</v>
      </c>
      <c r="D139">
        <f t="shared" si="17"/>
        <v>2.2975000000000003</v>
      </c>
      <c r="J139">
        <v>19</v>
      </c>
      <c r="K139" s="55">
        <v>6.7399999999999993</v>
      </c>
      <c r="L139" s="2">
        <v>8.6435714285714287</v>
      </c>
      <c r="M139" s="2">
        <v>12.139591836734695</v>
      </c>
      <c r="N139" s="2">
        <v>16.18</v>
      </c>
      <c r="O139" s="2">
        <v>17.495714285714286</v>
      </c>
      <c r="U139">
        <v>19</v>
      </c>
      <c r="V139" s="55">
        <v>2.8928571428571428</v>
      </c>
      <c r="W139" s="2">
        <v>3.0235714285714286</v>
      </c>
      <c r="X139" s="2">
        <v>2.910408163265306</v>
      </c>
      <c r="Y139" s="2">
        <v>2.9778571428571428</v>
      </c>
      <c r="Z139" s="2">
        <v>2.8650000000000002</v>
      </c>
    </row>
    <row r="140" spans="1:26" x14ac:dyDescent="0.25">
      <c r="A140">
        <v>12</v>
      </c>
      <c r="C140">
        <v>14.780000000000001</v>
      </c>
      <c r="D140">
        <f t="shared" si="17"/>
        <v>2.4537500000000003</v>
      </c>
      <c r="J140">
        <v>20</v>
      </c>
      <c r="K140" s="55">
        <v>6.8</v>
      </c>
      <c r="L140" s="2">
        <v>8.75</v>
      </c>
      <c r="M140" s="2">
        <v>12.3</v>
      </c>
      <c r="N140" s="2">
        <v>16.37</v>
      </c>
      <c r="O140" s="2">
        <v>17.690000000000001</v>
      </c>
      <c r="U140">
        <v>20</v>
      </c>
      <c r="V140" s="55">
        <v>2.95</v>
      </c>
      <c r="W140" s="2">
        <v>3.08</v>
      </c>
      <c r="X140" s="2">
        <v>2.96</v>
      </c>
      <c r="Y140" s="2">
        <v>3.06</v>
      </c>
      <c r="Z140" s="2">
        <v>2.93</v>
      </c>
    </row>
    <row r="143" spans="1:26" x14ac:dyDescent="0.25">
      <c r="A143" t="s">
        <v>145</v>
      </c>
    </row>
    <row r="145" spans="1:5" x14ac:dyDescent="0.25">
      <c r="A145" t="s">
        <v>147</v>
      </c>
      <c r="C145" t="s">
        <v>152</v>
      </c>
      <c r="E145">
        <v>6</v>
      </c>
    </row>
    <row r="146" spans="1:5" x14ac:dyDescent="0.25">
      <c r="A146">
        <v>-12</v>
      </c>
      <c r="B146">
        <v>113</v>
      </c>
      <c r="C146">
        <v>11.223749999999999</v>
      </c>
      <c r="D146">
        <f>VLOOKUP(A146,$U$9:$Z$50,$E$145,FALSE)</f>
        <v>2.4649999999999999</v>
      </c>
    </row>
    <row r="147" spans="1:5" x14ac:dyDescent="0.25">
      <c r="A147">
        <v>-7</v>
      </c>
      <c r="C147">
        <v>12.93</v>
      </c>
      <c r="D147">
        <f t="shared" ref="D147:D150" si="18">VLOOKUP(A147,$U$9:$Z$50,$E$145,FALSE)</f>
        <v>2.69</v>
      </c>
    </row>
    <row r="148" spans="1:5" x14ac:dyDescent="0.25">
      <c r="A148">
        <v>2</v>
      </c>
      <c r="C148">
        <v>16.001249999999999</v>
      </c>
      <c r="D148">
        <f t="shared" si="18"/>
        <v>3.0949999999999998</v>
      </c>
    </row>
    <row r="149" spans="1:5" x14ac:dyDescent="0.25">
      <c r="A149">
        <v>7</v>
      </c>
      <c r="C149">
        <v>17.7075</v>
      </c>
      <c r="D149">
        <f t="shared" si="18"/>
        <v>3.32</v>
      </c>
    </row>
    <row r="150" spans="1:5" x14ac:dyDescent="0.25">
      <c r="A150">
        <v>12</v>
      </c>
      <c r="C150">
        <v>19.41375</v>
      </c>
      <c r="D150">
        <f t="shared" si="18"/>
        <v>3.5449999999999999</v>
      </c>
    </row>
    <row r="152" spans="1:5" x14ac:dyDescent="0.25">
      <c r="A152" t="s">
        <v>45</v>
      </c>
    </row>
    <row r="154" spans="1:5" x14ac:dyDescent="0.25">
      <c r="A154" t="s">
        <v>147</v>
      </c>
      <c r="C154" t="s">
        <v>152</v>
      </c>
    </row>
    <row r="155" spans="1:5" x14ac:dyDescent="0.25">
      <c r="A155">
        <v>-12</v>
      </c>
      <c r="B155">
        <v>118</v>
      </c>
      <c r="C155">
        <v>10.38875</v>
      </c>
      <c r="D155">
        <f>VLOOKUP(A155,$U$54:$Z$95,$E$145,FALSE)</f>
        <v>2.1262499999999998</v>
      </c>
    </row>
    <row r="156" spans="1:5" x14ac:dyDescent="0.25">
      <c r="A156">
        <v>-7</v>
      </c>
      <c r="C156">
        <v>11.97</v>
      </c>
      <c r="D156">
        <f t="shared" ref="D156:D159" si="19">VLOOKUP(A156,$U$54:$Z$95,$E$145,FALSE)</f>
        <v>2.3199999999999998</v>
      </c>
    </row>
    <row r="157" spans="1:5" x14ac:dyDescent="0.25">
      <c r="A157">
        <v>2</v>
      </c>
      <c r="C157">
        <v>14.816250000000002</v>
      </c>
      <c r="D157">
        <f t="shared" si="19"/>
        <v>2.6687500000000002</v>
      </c>
    </row>
    <row r="158" spans="1:5" x14ac:dyDescent="0.25">
      <c r="A158">
        <v>7</v>
      </c>
      <c r="C158">
        <v>16.397500000000001</v>
      </c>
      <c r="D158">
        <f t="shared" si="19"/>
        <v>2.8624999999999998</v>
      </c>
    </row>
    <row r="159" spans="1:5" x14ac:dyDescent="0.25">
      <c r="A159">
        <v>12</v>
      </c>
      <c r="C159">
        <v>17.978750000000005</v>
      </c>
      <c r="D159">
        <f t="shared" si="19"/>
        <v>3.0562499999999999</v>
      </c>
    </row>
    <row r="161" spans="1:4" x14ac:dyDescent="0.25">
      <c r="A161" t="s">
        <v>153</v>
      </c>
    </row>
    <row r="163" spans="1:4" x14ac:dyDescent="0.25">
      <c r="A163" t="s">
        <v>147</v>
      </c>
      <c r="C163" t="s">
        <v>152</v>
      </c>
    </row>
    <row r="164" spans="1:4" x14ac:dyDescent="0.25">
      <c r="A164">
        <v>-12</v>
      </c>
      <c r="B164">
        <v>123</v>
      </c>
      <c r="C164">
        <v>9.2675000000000001</v>
      </c>
      <c r="D164">
        <f>VLOOKUP(A164,$U$99:$Z$140,$E$145,FALSE)</f>
        <v>1.6937500000000001</v>
      </c>
    </row>
    <row r="165" spans="1:4" x14ac:dyDescent="0.25">
      <c r="A165">
        <v>-7</v>
      </c>
      <c r="C165">
        <v>10.68</v>
      </c>
      <c r="D165">
        <f t="shared" ref="D165:D168" si="20">VLOOKUP(A165,$U$99:$Z$140,$E$145,FALSE)</f>
        <v>1.85</v>
      </c>
    </row>
    <row r="166" spans="1:4" x14ac:dyDescent="0.25">
      <c r="A166">
        <v>2</v>
      </c>
      <c r="C166">
        <v>13.2225</v>
      </c>
      <c r="D166">
        <f t="shared" si="20"/>
        <v>2.1312500000000001</v>
      </c>
    </row>
    <row r="167" spans="1:4" x14ac:dyDescent="0.25">
      <c r="A167">
        <v>7</v>
      </c>
      <c r="C167">
        <v>14.635</v>
      </c>
      <c r="D167">
        <f t="shared" si="20"/>
        <v>2.2875000000000001</v>
      </c>
    </row>
    <row r="168" spans="1:4" x14ac:dyDescent="0.25">
      <c r="A168">
        <v>12</v>
      </c>
      <c r="C168">
        <v>16.047499999999999</v>
      </c>
      <c r="D168">
        <f t="shared" si="20"/>
        <v>2.4437500000000001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3F51-66A6-4464-B62B-B2864D3332CF}">
  <dimension ref="F1:AE70"/>
  <sheetViews>
    <sheetView topLeftCell="A7" zoomScale="75" workbookViewId="0">
      <selection activeCell="I1" sqref="I1:AE9"/>
    </sheetView>
  </sheetViews>
  <sheetFormatPr defaultRowHeight="15" x14ac:dyDescent="0.25"/>
  <cols>
    <col min="10" max="12" width="12.28515625" bestFit="1" customWidth="1"/>
  </cols>
  <sheetData>
    <row r="1" spans="6:31" x14ac:dyDescent="0.25">
      <c r="I1" t="s">
        <v>130</v>
      </c>
      <c r="J1" t="s">
        <v>63</v>
      </c>
      <c r="L1" t="s">
        <v>64</v>
      </c>
      <c r="N1" t="s">
        <v>65</v>
      </c>
      <c r="Q1" t="s">
        <v>130</v>
      </c>
      <c r="R1" t="s">
        <v>63</v>
      </c>
      <c r="T1" t="s">
        <v>64</v>
      </c>
      <c r="V1" t="s">
        <v>65</v>
      </c>
      <c r="Y1" t="s">
        <v>130</v>
      </c>
      <c r="Z1" t="s">
        <v>63</v>
      </c>
      <c r="AB1" t="s">
        <v>64</v>
      </c>
      <c r="AD1" t="s">
        <v>65</v>
      </c>
    </row>
    <row r="2" spans="6:31" x14ac:dyDescent="0.25">
      <c r="J2" t="s">
        <v>66</v>
      </c>
      <c r="K2" t="s">
        <v>280</v>
      </c>
      <c r="M2" t="s">
        <v>280</v>
      </c>
      <c r="O2" t="s">
        <v>280</v>
      </c>
    </row>
    <row r="3" spans="6:31" x14ac:dyDescent="0.25">
      <c r="I3" t="s">
        <v>71</v>
      </c>
      <c r="J3">
        <v>24.34</v>
      </c>
      <c r="K3">
        <v>2.54</v>
      </c>
      <c r="L3">
        <v>28.24</v>
      </c>
      <c r="M3">
        <v>2.63</v>
      </c>
      <c r="N3">
        <v>36.520000000000003</v>
      </c>
      <c r="O3">
        <v>2.5099999999999998</v>
      </c>
      <c r="Q3" t="s">
        <v>71</v>
      </c>
      <c r="R3">
        <v>20.45</v>
      </c>
      <c r="S3">
        <v>2.1</v>
      </c>
      <c r="T3">
        <v>23.72</v>
      </c>
      <c r="U3">
        <v>2.19</v>
      </c>
      <c r="V3">
        <v>30.67</v>
      </c>
      <c r="W3">
        <v>2.0699999999999998</v>
      </c>
      <c r="Y3" t="s">
        <v>71</v>
      </c>
      <c r="Z3">
        <v>18.47</v>
      </c>
      <c r="AA3">
        <v>1.71</v>
      </c>
      <c r="AB3">
        <v>21.42</v>
      </c>
      <c r="AC3">
        <v>1.8</v>
      </c>
      <c r="AD3">
        <v>27.7</v>
      </c>
      <c r="AE3">
        <v>1.68</v>
      </c>
    </row>
    <row r="4" spans="6:31" x14ac:dyDescent="0.25">
      <c r="I4" t="s">
        <v>73</v>
      </c>
      <c r="J4" s="2">
        <v>30.568965517241381</v>
      </c>
      <c r="K4" s="2">
        <v>2.79</v>
      </c>
      <c r="L4" s="2">
        <v>35.46</v>
      </c>
      <c r="M4" s="2">
        <v>2.88</v>
      </c>
      <c r="N4" s="2">
        <v>45.853448275862071</v>
      </c>
      <c r="O4" s="2">
        <v>2.7600000000000002</v>
      </c>
      <c r="Q4" t="s">
        <v>43</v>
      </c>
      <c r="R4" s="2">
        <v>26.689655172413794</v>
      </c>
      <c r="S4" s="2">
        <v>2.31</v>
      </c>
      <c r="T4" s="2">
        <v>30.96</v>
      </c>
      <c r="U4" s="2">
        <v>2.4</v>
      </c>
      <c r="V4" s="2">
        <v>40.03448275862069</v>
      </c>
      <c r="W4" s="2">
        <v>2.2800000000000002</v>
      </c>
      <c r="Y4" t="s">
        <v>74</v>
      </c>
      <c r="Z4" s="2">
        <v>24.517241379310345</v>
      </c>
      <c r="AA4" s="2">
        <v>1.88</v>
      </c>
      <c r="AB4" s="2">
        <v>28.44</v>
      </c>
      <c r="AC4" s="2">
        <v>1.97</v>
      </c>
      <c r="AD4" s="2">
        <v>36.775862068965516</v>
      </c>
      <c r="AE4" s="2">
        <v>1.8499999999999999</v>
      </c>
    </row>
    <row r="5" spans="6:31" x14ac:dyDescent="0.25">
      <c r="I5" t="s">
        <v>75</v>
      </c>
      <c r="J5" s="2">
        <v>34</v>
      </c>
      <c r="K5" s="2">
        <v>3.16</v>
      </c>
      <c r="L5" s="2">
        <v>39.44</v>
      </c>
      <c r="M5" s="2">
        <v>3.25</v>
      </c>
      <c r="N5" s="2">
        <v>51</v>
      </c>
      <c r="O5" s="2">
        <v>3.1300000000000003</v>
      </c>
      <c r="Q5" t="s">
        <v>44</v>
      </c>
      <c r="R5" s="2">
        <v>30.517241379310342</v>
      </c>
      <c r="S5" s="2">
        <v>2.5900000000000003</v>
      </c>
      <c r="T5" s="2">
        <v>35.4</v>
      </c>
      <c r="U5" s="2">
        <v>2.68</v>
      </c>
      <c r="V5" s="2">
        <v>45.775862068965509</v>
      </c>
      <c r="W5" s="2">
        <v>2.5600000000000005</v>
      </c>
      <c r="Y5" t="s">
        <v>76</v>
      </c>
      <c r="Z5" s="2">
        <v>26.706896551724135</v>
      </c>
      <c r="AA5" s="2">
        <v>2.08</v>
      </c>
      <c r="AB5" s="2">
        <v>30.98</v>
      </c>
      <c r="AC5" s="2">
        <v>2.17</v>
      </c>
      <c r="AD5" s="2">
        <v>40.060344827586206</v>
      </c>
      <c r="AE5" s="2">
        <v>2.0500000000000003</v>
      </c>
    </row>
    <row r="6" spans="6:31" x14ac:dyDescent="0.25">
      <c r="I6" t="s">
        <v>77</v>
      </c>
      <c r="J6" s="2">
        <v>38.672413793103452</v>
      </c>
      <c r="K6" s="2">
        <v>3.9400000000000004</v>
      </c>
      <c r="L6" s="2">
        <v>44.86</v>
      </c>
      <c r="M6" s="2">
        <v>4.03</v>
      </c>
      <c r="N6" s="2">
        <v>58.008620689655174</v>
      </c>
      <c r="O6" s="2">
        <v>3.9100000000000006</v>
      </c>
      <c r="Q6" t="s">
        <v>78</v>
      </c>
      <c r="R6" s="2">
        <v>35.344827586206897</v>
      </c>
      <c r="S6" s="2">
        <v>3.2</v>
      </c>
      <c r="T6" s="2">
        <v>41</v>
      </c>
      <c r="U6" s="2">
        <v>3.29</v>
      </c>
      <c r="V6" s="2">
        <v>53.017241379310349</v>
      </c>
      <c r="W6" s="2">
        <v>3.1700000000000004</v>
      </c>
      <c r="Y6" t="s">
        <v>79</v>
      </c>
      <c r="Z6" s="2">
        <v>31.655172413793103</v>
      </c>
      <c r="AA6" s="2">
        <v>2.58</v>
      </c>
      <c r="AB6" s="2">
        <v>36.72</v>
      </c>
      <c r="AC6" s="2">
        <v>2.67</v>
      </c>
      <c r="AD6" s="2">
        <v>47.482758620689651</v>
      </c>
      <c r="AE6" s="2">
        <v>2.5500000000000003</v>
      </c>
    </row>
    <row r="7" spans="6:31" x14ac:dyDescent="0.25">
      <c r="I7" t="s">
        <v>80</v>
      </c>
      <c r="J7" s="2">
        <v>44.741379310344826</v>
      </c>
      <c r="K7" s="2">
        <v>4.63</v>
      </c>
      <c r="L7" s="2">
        <v>51.9</v>
      </c>
      <c r="M7" s="2">
        <v>4.72</v>
      </c>
      <c r="N7" s="2">
        <v>67.112068965517238</v>
      </c>
      <c r="O7" s="2">
        <v>4.5999999999999996</v>
      </c>
      <c r="Q7" t="s">
        <v>81</v>
      </c>
      <c r="R7" s="2">
        <v>40.844827586206897</v>
      </c>
      <c r="S7" s="2">
        <v>3.7</v>
      </c>
      <c r="T7" s="2">
        <v>47.38</v>
      </c>
      <c r="U7" s="2">
        <v>3.79</v>
      </c>
      <c r="V7" s="2">
        <v>61.267241379310349</v>
      </c>
      <c r="W7" s="2">
        <v>3.6700000000000004</v>
      </c>
      <c r="Y7" t="s">
        <v>82</v>
      </c>
      <c r="Z7" s="2">
        <v>36.827586206896548</v>
      </c>
      <c r="AA7" s="2">
        <v>2.94</v>
      </c>
      <c r="AB7" s="2">
        <v>42.72</v>
      </c>
      <c r="AC7" s="2">
        <v>3.03</v>
      </c>
      <c r="AD7" s="2">
        <v>55.241379310344826</v>
      </c>
      <c r="AE7" s="2">
        <v>2.91</v>
      </c>
    </row>
    <row r="8" spans="6:31" x14ac:dyDescent="0.25">
      <c r="I8" t="s">
        <v>83</v>
      </c>
      <c r="J8" s="2">
        <v>50.241379310344826</v>
      </c>
      <c r="K8" s="2">
        <v>5.15</v>
      </c>
      <c r="L8" s="2">
        <v>58.28</v>
      </c>
      <c r="M8" s="2">
        <v>5.24</v>
      </c>
      <c r="N8" s="2">
        <v>75.362068965517238</v>
      </c>
      <c r="O8" s="2">
        <v>5.12</v>
      </c>
      <c r="Q8" t="s">
        <v>84</v>
      </c>
      <c r="R8" s="2">
        <v>45.931034482758619</v>
      </c>
      <c r="S8" s="2">
        <v>4.1000000000000005</v>
      </c>
      <c r="T8" s="2">
        <v>53.28</v>
      </c>
      <c r="U8" s="2">
        <v>4.1900000000000004</v>
      </c>
      <c r="V8" s="2">
        <v>68.896551724137936</v>
      </c>
      <c r="W8" s="2">
        <v>4.07</v>
      </c>
      <c r="Y8" t="s">
        <v>85</v>
      </c>
      <c r="Z8" s="2">
        <v>41.672413793103452</v>
      </c>
      <c r="AA8" s="2">
        <v>3.2600000000000002</v>
      </c>
      <c r="AB8" s="2">
        <v>48.34</v>
      </c>
      <c r="AC8" s="2">
        <v>3.35</v>
      </c>
      <c r="AD8" s="2">
        <v>62.508620689655174</v>
      </c>
      <c r="AE8" s="2">
        <v>3.2300000000000004</v>
      </c>
    </row>
    <row r="9" spans="6:31" x14ac:dyDescent="0.25">
      <c r="I9" t="s">
        <v>86</v>
      </c>
      <c r="J9" s="2">
        <v>54.29</v>
      </c>
      <c r="K9" s="2">
        <v>6.71</v>
      </c>
      <c r="L9" s="2">
        <v>62.98</v>
      </c>
      <c r="M9" s="2">
        <v>6.8</v>
      </c>
      <c r="N9" s="2">
        <v>81.44</v>
      </c>
      <c r="O9" s="2">
        <v>6.68</v>
      </c>
      <c r="Q9" t="s">
        <v>87</v>
      </c>
      <c r="R9" s="2">
        <v>50.03</v>
      </c>
      <c r="S9" s="2">
        <v>5.16</v>
      </c>
      <c r="T9" s="2">
        <v>58.04</v>
      </c>
      <c r="U9" s="2">
        <v>5.25</v>
      </c>
      <c r="V9" s="2">
        <v>75.05</v>
      </c>
      <c r="W9" s="2">
        <v>5.15</v>
      </c>
      <c r="Y9" t="s">
        <v>88</v>
      </c>
      <c r="Z9" s="2">
        <v>45.95</v>
      </c>
      <c r="AA9" s="2">
        <v>3.88</v>
      </c>
      <c r="AB9" s="2">
        <v>53.3</v>
      </c>
      <c r="AC9" s="2">
        <v>3.97</v>
      </c>
      <c r="AD9" s="2">
        <v>68.92</v>
      </c>
      <c r="AE9" s="2">
        <v>3.85</v>
      </c>
    </row>
    <row r="10" spans="6:31" x14ac:dyDescent="0.25">
      <c r="L10" s="2"/>
    </row>
    <row r="11" spans="6:31" x14ac:dyDescent="0.25">
      <c r="V11">
        <v>-15</v>
      </c>
      <c r="W11">
        <v>23.75</v>
      </c>
    </row>
    <row r="12" spans="6:31" x14ac:dyDescent="0.25">
      <c r="V12">
        <v>-12</v>
      </c>
      <c r="W12" s="2">
        <v>30.96</v>
      </c>
    </row>
    <row r="13" spans="6:31" x14ac:dyDescent="0.25">
      <c r="F13" t="s">
        <v>86</v>
      </c>
      <c r="G13" s="2">
        <v>54.293103448275858</v>
      </c>
      <c r="H13" s="2">
        <v>62.98</v>
      </c>
      <c r="I13" s="2">
        <v>81.439655172413779</v>
      </c>
      <c r="V13">
        <v>-7</v>
      </c>
      <c r="W13" s="2">
        <v>35.4</v>
      </c>
    </row>
    <row r="14" spans="6:31" x14ac:dyDescent="0.25">
      <c r="F14" t="s">
        <v>86</v>
      </c>
      <c r="G14" s="2">
        <v>6.71</v>
      </c>
      <c r="H14" s="2">
        <v>6.8</v>
      </c>
      <c r="I14" s="2">
        <v>6.68</v>
      </c>
      <c r="V14">
        <v>2</v>
      </c>
      <c r="W14" s="2">
        <v>41</v>
      </c>
    </row>
    <row r="15" spans="6:31" x14ac:dyDescent="0.25">
      <c r="F15" t="s">
        <v>87</v>
      </c>
      <c r="G15" s="2">
        <v>50.03448275862069</v>
      </c>
      <c r="H15" s="2">
        <v>58.04</v>
      </c>
      <c r="I15" s="2">
        <v>75.051724137931032</v>
      </c>
      <c r="V15">
        <v>7</v>
      </c>
      <c r="W15" s="2">
        <v>47.38</v>
      </c>
    </row>
    <row r="16" spans="6:31" x14ac:dyDescent="0.25">
      <c r="F16" t="s">
        <v>87</v>
      </c>
      <c r="G16" s="2">
        <v>5.16</v>
      </c>
      <c r="H16" s="2">
        <v>5.25</v>
      </c>
      <c r="I16" s="2">
        <v>5.13</v>
      </c>
      <c r="V16">
        <v>12</v>
      </c>
      <c r="W16" s="2">
        <v>53.28</v>
      </c>
    </row>
    <row r="17" spans="6:20" x14ac:dyDescent="0.25">
      <c r="F17" t="s">
        <v>88</v>
      </c>
      <c r="G17" s="2">
        <v>45.948275862068961</v>
      </c>
      <c r="H17" s="2">
        <v>53.3</v>
      </c>
      <c r="I17" s="2">
        <v>68.922413793103445</v>
      </c>
    </row>
    <row r="18" spans="6:20" x14ac:dyDescent="0.25">
      <c r="F18" t="s">
        <v>88</v>
      </c>
      <c r="G18" s="2">
        <v>3.8800000000000003</v>
      </c>
      <c r="H18" s="2">
        <v>3.97</v>
      </c>
      <c r="I18" s="2">
        <v>3.8500000000000005</v>
      </c>
    </row>
    <row r="21" spans="6:20" x14ac:dyDescent="0.25">
      <c r="I21" t="s">
        <v>130</v>
      </c>
      <c r="J21" t="s">
        <v>63</v>
      </c>
      <c r="K21" t="s">
        <v>64</v>
      </c>
      <c r="L21" t="s">
        <v>65</v>
      </c>
    </row>
    <row r="22" spans="6:20" x14ac:dyDescent="0.25">
      <c r="J22" t="s">
        <v>66</v>
      </c>
    </row>
    <row r="23" spans="6:20" x14ac:dyDescent="0.25">
      <c r="I23" t="s">
        <v>71</v>
      </c>
      <c r="J23" s="2">
        <v>24.344827586206893</v>
      </c>
      <c r="K23" s="2">
        <v>28.24</v>
      </c>
      <c r="L23" s="2">
        <v>36.517241379310342</v>
      </c>
      <c r="O23" t="s">
        <v>130</v>
      </c>
      <c r="P23" t="s">
        <v>63</v>
      </c>
      <c r="Q23" t="s">
        <v>64</v>
      </c>
      <c r="R23" t="s">
        <v>65</v>
      </c>
    </row>
    <row r="24" spans="6:20" x14ac:dyDescent="0.25">
      <c r="I24" t="s">
        <v>71</v>
      </c>
      <c r="J24" s="2">
        <v>2.54</v>
      </c>
      <c r="K24" s="2">
        <v>2.63</v>
      </c>
      <c r="L24" s="2">
        <v>2.5100000000000002</v>
      </c>
      <c r="P24" t="s">
        <v>66</v>
      </c>
    </row>
    <row r="25" spans="6:20" x14ac:dyDescent="0.25">
      <c r="I25" t="s">
        <v>42</v>
      </c>
      <c r="J25" s="2">
        <v>20.448275862068961</v>
      </c>
      <c r="K25" s="2">
        <v>23.72</v>
      </c>
      <c r="L25" s="2">
        <v>30.672413793103441</v>
      </c>
      <c r="O25" t="s">
        <v>73</v>
      </c>
      <c r="P25" s="2">
        <v>2.79</v>
      </c>
      <c r="Q25" s="2">
        <v>2.88</v>
      </c>
      <c r="R25" s="2">
        <v>2.7600000000000002</v>
      </c>
    </row>
    <row r="26" spans="6:20" x14ac:dyDescent="0.25">
      <c r="I26" t="s">
        <v>42</v>
      </c>
      <c r="J26" s="2">
        <v>2.1</v>
      </c>
      <c r="K26" s="2">
        <v>2.19</v>
      </c>
      <c r="L26" s="2">
        <v>2.0700000000000003</v>
      </c>
      <c r="O26" t="s">
        <v>43</v>
      </c>
      <c r="P26" s="2">
        <v>2.31</v>
      </c>
      <c r="Q26" s="2">
        <v>2.4</v>
      </c>
      <c r="R26" s="2">
        <v>2.2800000000000002</v>
      </c>
    </row>
    <row r="27" spans="6:20" x14ac:dyDescent="0.25">
      <c r="I27" t="s">
        <v>72</v>
      </c>
      <c r="J27" s="2">
        <v>18.46551724137931</v>
      </c>
      <c r="K27" s="2">
        <v>21.42</v>
      </c>
      <c r="L27" s="2">
        <v>27.698275862068964</v>
      </c>
      <c r="O27" t="s">
        <v>74</v>
      </c>
      <c r="P27" s="2">
        <v>1.88</v>
      </c>
      <c r="Q27" s="2">
        <v>1.97</v>
      </c>
      <c r="R27" s="2">
        <v>1.8499999999999999</v>
      </c>
      <c r="S27" s="2"/>
      <c r="T27" s="2"/>
    </row>
    <row r="28" spans="6:20" x14ac:dyDescent="0.25">
      <c r="I28" t="s">
        <v>72</v>
      </c>
      <c r="J28" s="2">
        <v>1.71</v>
      </c>
      <c r="K28" s="2">
        <v>1.8</v>
      </c>
      <c r="L28" s="2">
        <v>1.68</v>
      </c>
      <c r="O28" t="s">
        <v>75</v>
      </c>
      <c r="P28" s="2">
        <v>3.16</v>
      </c>
      <c r="Q28" s="2">
        <v>3.25</v>
      </c>
      <c r="R28" s="2">
        <v>3.1300000000000003</v>
      </c>
    </row>
    <row r="29" spans="6:20" x14ac:dyDescent="0.25">
      <c r="I29" t="s">
        <v>73</v>
      </c>
      <c r="J29" s="2">
        <v>30.568965517241381</v>
      </c>
      <c r="K29" s="2">
        <v>35.46</v>
      </c>
      <c r="L29" s="2">
        <v>45.853448275862071</v>
      </c>
      <c r="O29" t="s">
        <v>44</v>
      </c>
      <c r="P29" s="2">
        <v>2.5900000000000003</v>
      </c>
      <c r="Q29" s="2">
        <v>2.68</v>
      </c>
      <c r="R29" s="2">
        <v>2.5600000000000005</v>
      </c>
      <c r="S29" s="2"/>
      <c r="T29" s="2"/>
    </row>
    <row r="30" spans="6:20" x14ac:dyDescent="0.25">
      <c r="I30" t="s">
        <v>73</v>
      </c>
      <c r="J30" s="2">
        <v>2.79</v>
      </c>
      <c r="K30" s="2">
        <v>2.88</v>
      </c>
      <c r="L30" s="2">
        <v>2.7600000000000002</v>
      </c>
      <c r="O30" t="s">
        <v>76</v>
      </c>
      <c r="P30" s="2">
        <v>2.08</v>
      </c>
      <c r="Q30" s="2">
        <v>2.17</v>
      </c>
      <c r="R30" s="2">
        <v>2.0500000000000003</v>
      </c>
    </row>
    <row r="31" spans="6:20" x14ac:dyDescent="0.25">
      <c r="I31" t="s">
        <v>43</v>
      </c>
      <c r="J31" s="2">
        <v>26.689655172413794</v>
      </c>
      <c r="K31" s="2">
        <v>30.96</v>
      </c>
      <c r="L31" s="2">
        <v>40.03448275862069</v>
      </c>
      <c r="O31" t="s">
        <v>77</v>
      </c>
      <c r="P31" s="2">
        <v>3.9400000000000004</v>
      </c>
      <c r="Q31" s="2">
        <v>4.03</v>
      </c>
      <c r="R31" s="2">
        <v>3.9100000000000006</v>
      </c>
      <c r="S31" s="2"/>
      <c r="T31" s="2"/>
    </row>
    <row r="32" spans="6:20" x14ac:dyDescent="0.25">
      <c r="I32" t="s">
        <v>43</v>
      </c>
      <c r="J32" s="2">
        <v>2.31</v>
      </c>
      <c r="K32" s="2">
        <v>2.4</v>
      </c>
      <c r="L32" s="2">
        <v>2.2800000000000002</v>
      </c>
      <c r="O32" t="s">
        <v>78</v>
      </c>
      <c r="P32" s="2">
        <v>3.2</v>
      </c>
      <c r="Q32" s="2">
        <v>3.29</v>
      </c>
      <c r="R32" s="2">
        <v>3.1700000000000004</v>
      </c>
    </row>
    <row r="33" spans="9:20" x14ac:dyDescent="0.25">
      <c r="I33" t="s">
        <v>74</v>
      </c>
      <c r="J33" s="2">
        <v>24.517241379310345</v>
      </c>
      <c r="K33" s="2">
        <v>28.44</v>
      </c>
      <c r="L33" s="2">
        <v>36.775862068965516</v>
      </c>
      <c r="O33" t="s">
        <v>79</v>
      </c>
      <c r="P33" s="2">
        <v>2.58</v>
      </c>
      <c r="Q33" s="2">
        <v>2.67</v>
      </c>
      <c r="R33" s="2">
        <v>2.5500000000000003</v>
      </c>
      <c r="S33" s="2"/>
      <c r="T33" s="2"/>
    </row>
    <row r="34" spans="9:20" x14ac:dyDescent="0.25">
      <c r="I34" t="s">
        <v>74</v>
      </c>
      <c r="J34" s="2">
        <v>1.88</v>
      </c>
      <c r="K34" s="2">
        <v>1.97</v>
      </c>
      <c r="L34" s="2">
        <v>1.8499999999999999</v>
      </c>
      <c r="O34" t="s">
        <v>80</v>
      </c>
      <c r="P34" s="2">
        <v>4.63</v>
      </c>
      <c r="Q34" s="2">
        <v>4.72</v>
      </c>
      <c r="R34" s="2">
        <v>4.5999999999999996</v>
      </c>
    </row>
    <row r="35" spans="9:20" x14ac:dyDescent="0.25">
      <c r="I35" t="s">
        <v>75</v>
      </c>
      <c r="J35" s="2">
        <v>34</v>
      </c>
      <c r="K35" s="2">
        <v>39.44</v>
      </c>
      <c r="L35" s="2">
        <v>51</v>
      </c>
      <c r="O35" t="s">
        <v>81</v>
      </c>
      <c r="P35" s="2">
        <v>3.7</v>
      </c>
      <c r="Q35" s="2">
        <v>3.79</v>
      </c>
      <c r="R35" s="2">
        <v>3.6700000000000004</v>
      </c>
      <c r="S35" s="2"/>
      <c r="T35" s="2"/>
    </row>
    <row r="36" spans="9:20" x14ac:dyDescent="0.25">
      <c r="I36" t="s">
        <v>75</v>
      </c>
      <c r="J36" s="2">
        <v>3.16</v>
      </c>
      <c r="K36" s="2">
        <v>3.25</v>
      </c>
      <c r="L36" s="2">
        <v>3.1300000000000003</v>
      </c>
      <c r="O36" t="s">
        <v>82</v>
      </c>
      <c r="P36" s="2">
        <v>2.94</v>
      </c>
      <c r="Q36" s="2">
        <v>3.03</v>
      </c>
      <c r="R36" s="2">
        <v>2.91</v>
      </c>
    </row>
    <row r="37" spans="9:20" x14ac:dyDescent="0.25">
      <c r="I37" t="s">
        <v>44</v>
      </c>
      <c r="J37" s="2">
        <v>30.517241379310342</v>
      </c>
      <c r="K37" s="2">
        <v>35.4</v>
      </c>
      <c r="L37" s="2">
        <v>45.775862068965509</v>
      </c>
      <c r="O37" t="s">
        <v>83</v>
      </c>
      <c r="P37" s="2">
        <v>5.15</v>
      </c>
      <c r="Q37" s="2">
        <v>5.24</v>
      </c>
      <c r="R37" s="2">
        <v>5.12</v>
      </c>
      <c r="S37" s="2"/>
      <c r="T37" s="2"/>
    </row>
    <row r="38" spans="9:20" x14ac:dyDescent="0.25">
      <c r="I38" t="s">
        <v>44</v>
      </c>
      <c r="J38" s="2">
        <v>2.5900000000000003</v>
      </c>
      <c r="K38" s="2">
        <v>2.68</v>
      </c>
      <c r="L38" s="2">
        <v>2.5600000000000005</v>
      </c>
      <c r="O38" t="s">
        <v>84</v>
      </c>
      <c r="P38" s="2">
        <v>4.1000000000000005</v>
      </c>
      <c r="Q38" s="2">
        <v>4.1900000000000004</v>
      </c>
      <c r="R38" s="2">
        <v>4.07</v>
      </c>
    </row>
    <row r="39" spans="9:20" x14ac:dyDescent="0.25">
      <c r="I39" t="s">
        <v>76</v>
      </c>
      <c r="J39" s="2">
        <v>26.706896551724135</v>
      </c>
      <c r="K39" s="2">
        <v>30.98</v>
      </c>
      <c r="L39" s="2">
        <v>40.060344827586206</v>
      </c>
      <c r="O39" t="s">
        <v>85</v>
      </c>
      <c r="P39" s="2">
        <v>3.2600000000000002</v>
      </c>
      <c r="Q39" s="2">
        <v>3.35</v>
      </c>
      <c r="R39" s="2">
        <v>3.2300000000000004</v>
      </c>
      <c r="S39" s="2"/>
      <c r="T39" s="2"/>
    </row>
    <row r="40" spans="9:20" x14ac:dyDescent="0.25">
      <c r="I40" t="s">
        <v>76</v>
      </c>
      <c r="J40" s="2">
        <v>2.08</v>
      </c>
      <c r="K40" s="2">
        <v>2.17</v>
      </c>
      <c r="L40" s="2">
        <v>2.0500000000000003</v>
      </c>
    </row>
    <row r="41" spans="9:20" x14ac:dyDescent="0.25">
      <c r="I41" t="s">
        <v>77</v>
      </c>
      <c r="J41" s="2">
        <v>38.672413793103452</v>
      </c>
      <c r="K41" s="2">
        <v>44.86</v>
      </c>
      <c r="L41" s="2">
        <v>58.008620689655174</v>
      </c>
      <c r="R41" s="2"/>
      <c r="S41" s="2"/>
      <c r="T41" s="2"/>
    </row>
    <row r="42" spans="9:20" x14ac:dyDescent="0.25">
      <c r="I42" t="s">
        <v>77</v>
      </c>
      <c r="J42" s="2">
        <v>3.9400000000000004</v>
      </c>
      <c r="K42" s="2">
        <v>4.03</v>
      </c>
      <c r="L42" s="2">
        <v>3.9100000000000006</v>
      </c>
      <c r="R42" s="2"/>
      <c r="S42" s="2"/>
      <c r="T42" s="2"/>
    </row>
    <row r="43" spans="9:20" x14ac:dyDescent="0.25">
      <c r="I43" t="s">
        <v>78</v>
      </c>
      <c r="J43" s="2">
        <v>35.344827586206897</v>
      </c>
      <c r="K43" s="2">
        <v>41</v>
      </c>
      <c r="L43" s="2">
        <v>53.017241379310349</v>
      </c>
      <c r="R43" s="2"/>
      <c r="S43" s="2"/>
      <c r="T43" s="2"/>
    </row>
    <row r="44" spans="9:20" x14ac:dyDescent="0.25">
      <c r="I44" t="s">
        <v>78</v>
      </c>
      <c r="J44" s="2">
        <v>3.2</v>
      </c>
      <c r="K44" s="2">
        <v>3.29</v>
      </c>
      <c r="L44" s="2">
        <v>3.1700000000000004</v>
      </c>
      <c r="R44" s="2"/>
      <c r="S44" s="2"/>
      <c r="T44" s="2"/>
    </row>
    <row r="45" spans="9:20" x14ac:dyDescent="0.25">
      <c r="I45" t="s">
        <v>79</v>
      </c>
      <c r="J45" s="2">
        <v>31.655172413793103</v>
      </c>
      <c r="K45" s="2">
        <v>36.72</v>
      </c>
      <c r="L45" s="2">
        <v>47.482758620689651</v>
      </c>
      <c r="R45" s="2"/>
      <c r="S45" s="2"/>
      <c r="T45" s="2"/>
    </row>
    <row r="46" spans="9:20" x14ac:dyDescent="0.25">
      <c r="I46" t="s">
        <v>79</v>
      </c>
      <c r="J46" s="2">
        <v>2.58</v>
      </c>
      <c r="K46" s="2">
        <v>2.67</v>
      </c>
      <c r="L46" s="2">
        <v>2.5500000000000003</v>
      </c>
      <c r="R46" s="2"/>
      <c r="S46" s="2"/>
      <c r="T46" s="2"/>
    </row>
    <row r="47" spans="9:20" x14ac:dyDescent="0.25">
      <c r="I47" t="s">
        <v>80</v>
      </c>
      <c r="J47" s="2">
        <v>44.741379310344826</v>
      </c>
      <c r="K47" s="2">
        <v>51.9</v>
      </c>
      <c r="L47" s="2">
        <v>67.112068965517238</v>
      </c>
      <c r="R47" s="2"/>
      <c r="S47" s="2"/>
      <c r="T47" s="2"/>
    </row>
    <row r="48" spans="9:20" x14ac:dyDescent="0.25">
      <c r="I48" t="s">
        <v>80</v>
      </c>
      <c r="J48" s="2">
        <v>4.63</v>
      </c>
      <c r="K48" s="2">
        <v>4.72</v>
      </c>
      <c r="L48" s="2">
        <v>4.5999999999999996</v>
      </c>
      <c r="R48" s="2"/>
      <c r="S48" s="2"/>
      <c r="T48" s="2"/>
    </row>
    <row r="49" spans="9:20" x14ac:dyDescent="0.25">
      <c r="I49" t="s">
        <v>81</v>
      </c>
      <c r="J49" s="2">
        <v>40.844827586206897</v>
      </c>
      <c r="K49" s="2">
        <v>47.38</v>
      </c>
      <c r="L49" s="2">
        <v>61.267241379310349</v>
      </c>
      <c r="R49" s="2"/>
      <c r="S49" s="2"/>
      <c r="T49" s="2"/>
    </row>
    <row r="50" spans="9:20" x14ac:dyDescent="0.25">
      <c r="I50" t="s">
        <v>81</v>
      </c>
      <c r="J50" s="2">
        <v>3.7</v>
      </c>
      <c r="K50" s="2">
        <v>3.79</v>
      </c>
      <c r="L50" s="2">
        <v>3.6700000000000004</v>
      </c>
      <c r="R50" s="2"/>
      <c r="S50" s="2"/>
      <c r="T50" s="2"/>
    </row>
    <row r="51" spans="9:20" x14ac:dyDescent="0.25">
      <c r="I51" t="s">
        <v>82</v>
      </c>
      <c r="J51" s="2">
        <v>36.827586206896548</v>
      </c>
      <c r="K51" s="2">
        <v>42.72</v>
      </c>
      <c r="L51" s="2">
        <v>55.241379310344826</v>
      </c>
      <c r="R51" s="2"/>
      <c r="S51" s="2"/>
      <c r="T51" s="2"/>
    </row>
    <row r="52" spans="9:20" x14ac:dyDescent="0.25">
      <c r="I52" t="s">
        <v>82</v>
      </c>
      <c r="J52" s="2">
        <v>2.94</v>
      </c>
      <c r="K52" s="2">
        <v>3.03</v>
      </c>
      <c r="L52" s="2">
        <v>2.91</v>
      </c>
      <c r="R52" s="2"/>
      <c r="S52" s="2"/>
      <c r="T52" s="2"/>
    </row>
    <row r="53" spans="9:20" x14ac:dyDescent="0.25">
      <c r="I53" t="s">
        <v>83</v>
      </c>
      <c r="J53" s="2">
        <v>50.241379310344826</v>
      </c>
      <c r="K53" s="2">
        <v>58.28</v>
      </c>
      <c r="L53" s="2">
        <v>75.362068965517238</v>
      </c>
    </row>
    <row r="54" spans="9:20" x14ac:dyDescent="0.25">
      <c r="I54" t="s">
        <v>83</v>
      </c>
      <c r="J54" s="2">
        <v>5.15</v>
      </c>
      <c r="K54" s="2">
        <v>5.24</v>
      </c>
      <c r="L54" s="2">
        <v>5.12</v>
      </c>
    </row>
    <row r="55" spans="9:20" x14ac:dyDescent="0.25">
      <c r="I55" t="s">
        <v>84</v>
      </c>
      <c r="J55" s="2">
        <v>45.931034482758619</v>
      </c>
      <c r="K55" s="2">
        <v>53.28</v>
      </c>
      <c r="L55" s="2">
        <v>68.896551724137936</v>
      </c>
    </row>
    <row r="56" spans="9:20" x14ac:dyDescent="0.25">
      <c r="I56" t="s">
        <v>84</v>
      </c>
      <c r="J56" s="2">
        <v>4.1000000000000005</v>
      </c>
      <c r="K56" s="2">
        <v>4.1900000000000004</v>
      </c>
      <c r="L56" s="2">
        <v>4.07</v>
      </c>
    </row>
    <row r="57" spans="9:20" x14ac:dyDescent="0.25">
      <c r="I57" t="s">
        <v>85</v>
      </c>
      <c r="J57" s="2">
        <v>41.672413793103452</v>
      </c>
      <c r="K57" s="2">
        <v>48.34</v>
      </c>
      <c r="L57" s="2">
        <v>62.508620689655174</v>
      </c>
    </row>
    <row r="58" spans="9:20" x14ac:dyDescent="0.25">
      <c r="I58" t="s">
        <v>85</v>
      </c>
      <c r="J58" s="2">
        <v>3.2600000000000002</v>
      </c>
      <c r="K58" s="2">
        <v>3.35</v>
      </c>
      <c r="L58" s="2">
        <v>3.2300000000000004</v>
      </c>
    </row>
    <row r="59" spans="9:20" x14ac:dyDescent="0.25">
      <c r="I59" t="s">
        <v>86</v>
      </c>
      <c r="J59" s="2">
        <v>54.293103448275858</v>
      </c>
      <c r="K59" s="2">
        <v>62.98</v>
      </c>
      <c r="L59" s="2">
        <v>81.439655172413779</v>
      </c>
    </row>
    <row r="60" spans="9:20" x14ac:dyDescent="0.25">
      <c r="I60" t="s">
        <v>86</v>
      </c>
      <c r="J60" s="2">
        <v>6.71</v>
      </c>
      <c r="K60" s="2">
        <v>6.8</v>
      </c>
      <c r="L60" s="2">
        <v>6.68</v>
      </c>
    </row>
    <row r="61" spans="9:20" x14ac:dyDescent="0.25">
      <c r="I61" t="s">
        <v>87</v>
      </c>
      <c r="J61" s="2">
        <v>50.03448275862069</v>
      </c>
      <c r="K61" s="2">
        <v>58.04</v>
      </c>
      <c r="L61" s="2">
        <v>75.051724137931032</v>
      </c>
    </row>
    <row r="62" spans="9:20" x14ac:dyDescent="0.25">
      <c r="I62" t="s">
        <v>87</v>
      </c>
      <c r="J62" s="2">
        <v>5.16</v>
      </c>
      <c r="K62" s="2">
        <v>5.25</v>
      </c>
      <c r="L62" s="2">
        <v>5.13</v>
      </c>
    </row>
    <row r="63" spans="9:20" x14ac:dyDescent="0.25">
      <c r="I63" t="s">
        <v>88</v>
      </c>
      <c r="J63" s="2">
        <v>45.948275862068961</v>
      </c>
      <c r="K63" s="2">
        <v>53.3</v>
      </c>
      <c r="L63" s="2">
        <v>68.922413793103445</v>
      </c>
    </row>
    <row r="64" spans="9:20" x14ac:dyDescent="0.25">
      <c r="I64" t="s">
        <v>88</v>
      </c>
      <c r="J64" s="2">
        <v>3.8800000000000003</v>
      </c>
      <c r="K64" s="2">
        <v>3.97</v>
      </c>
      <c r="L64" s="2">
        <v>3.8500000000000005</v>
      </c>
    </row>
    <row r="65" spans="9:12" x14ac:dyDescent="0.25">
      <c r="I65" t="s">
        <v>89</v>
      </c>
      <c r="J65" s="2">
        <v>28.2</v>
      </c>
      <c r="K65" s="2">
        <v>43.65</v>
      </c>
      <c r="L65" s="2">
        <v>56.4</v>
      </c>
    </row>
    <row r="66" spans="9:12" x14ac:dyDescent="0.25">
      <c r="I66" t="s">
        <v>67</v>
      </c>
      <c r="J66" s="2">
        <v>4.0199999999999996</v>
      </c>
      <c r="K66" s="2">
        <v>3.99</v>
      </c>
      <c r="L66" s="2">
        <v>4.0199999999999996</v>
      </c>
    </row>
    <row r="67" spans="9:12" x14ac:dyDescent="0.25">
      <c r="I67" t="s">
        <v>90</v>
      </c>
      <c r="J67" s="2">
        <v>27.97</v>
      </c>
      <c r="K67" s="2">
        <v>45.96</v>
      </c>
      <c r="L67" s="2">
        <v>55.94</v>
      </c>
    </row>
    <row r="68" spans="9:12" x14ac:dyDescent="0.25">
      <c r="I68" t="s">
        <v>68</v>
      </c>
      <c r="J68" s="2">
        <v>4.21</v>
      </c>
      <c r="K68" s="2">
        <v>4.18</v>
      </c>
      <c r="L68" s="2">
        <v>4.21</v>
      </c>
    </row>
    <row r="69" spans="9:12" x14ac:dyDescent="0.25">
      <c r="I69" t="s">
        <v>69</v>
      </c>
      <c r="J69" s="2">
        <v>54</v>
      </c>
      <c r="K69" s="2">
        <v>54</v>
      </c>
      <c r="L69" s="2">
        <v>58</v>
      </c>
    </row>
    <row r="70" spans="9:12" x14ac:dyDescent="0.25">
      <c r="I70" t="s">
        <v>70</v>
      </c>
      <c r="J70" s="2">
        <v>37</v>
      </c>
      <c r="K70" s="2">
        <v>37</v>
      </c>
      <c r="L70" s="2">
        <v>41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Návod</vt:lpstr>
      <vt:lpstr>Výpočet</vt:lpstr>
      <vt:lpstr>Pomery_vykonu</vt:lpstr>
      <vt:lpstr>Vyber_typu</vt:lpstr>
      <vt:lpstr>VykonyTC_tab</vt:lpstr>
      <vt:lpstr>TV</vt:lpstr>
      <vt:lpstr>lokality</vt:lpstr>
      <vt:lpstr>AIR X</vt:lpstr>
      <vt:lpstr>Heliotherm</vt:lpstr>
      <vt:lpstr>GEO G</vt:lpstr>
      <vt:lpstr>Výpočet!Oblast_tisku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Špindler Filip</dc:creator>
  <cp:lastModifiedBy>Špindler Filip</cp:lastModifiedBy>
  <cp:lastPrinted>2022-05-03T11:25:03Z</cp:lastPrinted>
  <dcterms:created xsi:type="dcterms:W3CDTF">2021-03-19T06:39:24Z</dcterms:created>
  <dcterms:modified xsi:type="dcterms:W3CDTF">2022-05-03T11:37:42Z</dcterms:modified>
</cp:coreProperties>
</file>