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indler\Desktop\IVT-cloud\TECHNOBCHOD\POMUCKY\Výpočty\"/>
    </mc:Choice>
  </mc:AlternateContent>
  <xr:revisionPtr revIDLastSave="0" documentId="13_ncr:1_{3DA17AFF-4C3A-432C-B306-ADC815130023}" xr6:coauthVersionLast="47" xr6:coauthVersionMax="47" xr10:uidLastSave="{00000000-0000-0000-0000-000000000000}"/>
  <bookViews>
    <workbookView minimized="1" xWindow="780" yWindow="780" windowWidth="21600" windowHeight="11385" xr2:uid="{00000000-000D-0000-FFFF-FFFF00000000}"/>
  </bookViews>
  <sheets>
    <sheet name="Příprava TV+návrh NZ" sheetId="1" r:id="rId1"/>
    <sheet name="tisk" sheetId="2" r:id="rId2"/>
    <sheet name="návod-výkonů" sheetId="4" r:id="rId3"/>
    <sheet name="návod-NZ" sheetId="5" r:id="rId4"/>
  </sheets>
  <definedNames>
    <definedName name="aku">'Příprava TV+návrh NZ'!$J$44</definedName>
    <definedName name="ele">'Příprava TV+návrh NZ'!$G$43</definedName>
    <definedName name="gas">'Příprava TV+návrh NZ'!$G$58</definedName>
    <definedName name="ost">'Příprava TV+návrh NZ'!$G$64</definedName>
    <definedName name="per">'Příprava TV+návrh NZ'!$G$55</definedName>
    <definedName name="pot">'Příprava TV+návrh NZ'!$E$35</definedName>
    <definedName name="spot">'Příprava TV+návrh NZ'!$R$34</definedName>
    <definedName name="ukl">'Příprava TV+návrh NZ'!$G$62</definedName>
    <definedName name="uzi">'Příprava TV+návrh NZ'!$G$49</definedName>
    <definedName name="ztv">'Příprava TV+návrh NZ'!$Q$9</definedName>
  </definedNames>
  <calcPr calcId="191029"/>
</workbook>
</file>

<file path=xl/calcChain.xml><?xml version="1.0" encoding="utf-8"?>
<calcChain xmlns="http://schemas.openxmlformats.org/spreadsheetml/2006/main">
  <c r="J44" i="1" l="1"/>
  <c r="G45" i="1" s="1"/>
  <c r="AP26" i="1" l="1"/>
  <c r="AP27" i="1"/>
  <c r="AN4" i="1"/>
  <c r="AN9" i="1"/>
  <c r="AN10" i="1" s="1"/>
  <c r="Y17" i="1"/>
  <c r="Y11" i="1"/>
  <c r="Y12" i="1" s="1"/>
  <c r="Y25" i="1" s="1"/>
  <c r="Y19" i="1" s="1"/>
  <c r="G49" i="1"/>
  <c r="I63" i="1"/>
  <c r="I61" i="1"/>
  <c r="I60" i="1"/>
  <c r="I59" i="1"/>
  <c r="I57" i="1"/>
  <c r="I53" i="1"/>
  <c r="I52" i="1"/>
  <c r="I51" i="1"/>
  <c r="I50" i="1"/>
  <c r="I56" i="1"/>
  <c r="Y26" i="1" l="1"/>
  <c r="Y13" i="1"/>
  <c r="Y24" i="1" s="1"/>
  <c r="G79" i="1"/>
  <c r="I81" i="1" s="1"/>
  <c r="G63" i="4"/>
  <c r="G61" i="4"/>
  <c r="G57" i="4"/>
  <c r="G54" i="4"/>
  <c r="G48" i="4"/>
  <c r="J44" i="4"/>
  <c r="N34" i="4"/>
  <c r="L34" i="4"/>
  <c r="J34" i="4"/>
  <c r="H34" i="4"/>
  <c r="F34" i="4"/>
  <c r="AC9" i="4"/>
  <c r="D15" i="2"/>
  <c r="D13" i="2"/>
  <c r="G11" i="4"/>
  <c r="G55" i="1"/>
  <c r="H35" i="1" s="1"/>
  <c r="G58" i="1"/>
  <c r="J35" i="1" s="1"/>
  <c r="G62" i="1"/>
  <c r="M25" i="1" s="1"/>
  <c r="G64" i="1"/>
  <c r="O30" i="1" s="1"/>
  <c r="N34" i="1"/>
  <c r="L34" i="1"/>
  <c r="J34" i="1"/>
  <c r="H34" i="1"/>
  <c r="F34" i="1"/>
  <c r="D6" i="2" l="1"/>
  <c r="AD27" i="1"/>
  <c r="AD29" i="1"/>
  <c r="AD31" i="1"/>
  <c r="AE31" i="1" s="1"/>
  <c r="AD28" i="1"/>
  <c r="AD26" i="1"/>
  <c r="AD30" i="1"/>
  <c r="AE30" i="1" s="1"/>
  <c r="O18" i="1"/>
  <c r="O27" i="1"/>
  <c r="O29" i="4"/>
  <c r="O17" i="1"/>
  <c r="O27" i="4"/>
  <c r="O10" i="4"/>
  <c r="O28" i="1"/>
  <c r="O16" i="1"/>
  <c r="O15" i="1"/>
  <c r="N35" i="1"/>
  <c r="O32" i="4"/>
  <c r="O25" i="4"/>
  <c r="O23" i="4"/>
  <c r="O14" i="4"/>
  <c r="O32" i="1"/>
  <c r="O12" i="4"/>
  <c r="O33" i="1"/>
  <c r="O31" i="1"/>
  <c r="O26" i="1"/>
  <c r="O21" i="4"/>
  <c r="O13" i="1"/>
  <c r="O26" i="4"/>
  <c r="O24" i="1"/>
  <c r="O12" i="1"/>
  <c r="O17" i="4"/>
  <c r="K17" i="1"/>
  <c r="O14" i="1"/>
  <c r="O24" i="4"/>
  <c r="O23" i="1"/>
  <c r="O11" i="1"/>
  <c r="O15" i="4"/>
  <c r="K16" i="1"/>
  <c r="D8" i="2"/>
  <c r="O30" i="4"/>
  <c r="O19" i="4"/>
  <c r="K25" i="1"/>
  <c r="O22" i="4"/>
  <c r="O22" i="1"/>
  <c r="O10" i="1"/>
  <c r="O13" i="4"/>
  <c r="K33" i="4"/>
  <c r="O28" i="4"/>
  <c r="O21" i="1"/>
  <c r="O18" i="4"/>
  <c r="O20" i="1"/>
  <c r="O33" i="4"/>
  <c r="O29" i="1"/>
  <c r="O25" i="1"/>
  <c r="O20" i="4"/>
  <c r="N35" i="4"/>
  <c r="O11" i="4"/>
  <c r="O16" i="4"/>
  <c r="O19" i="1"/>
  <c r="O31" i="4"/>
  <c r="I19" i="4"/>
  <c r="I15" i="1"/>
  <c r="J35" i="4"/>
  <c r="K20" i="4"/>
  <c r="K19" i="4"/>
  <c r="K30" i="1"/>
  <c r="K18" i="4"/>
  <c r="K17" i="4"/>
  <c r="K24" i="1"/>
  <c r="I22" i="4"/>
  <c r="I32" i="1"/>
  <c r="I33" i="1"/>
  <c r="D5" i="2"/>
  <c r="I16" i="1"/>
  <c r="I23" i="4"/>
  <c r="I25" i="1"/>
  <c r="I17" i="4"/>
  <c r="I23" i="1"/>
  <c r="I28" i="1"/>
  <c r="I22" i="1"/>
  <c r="I33" i="4"/>
  <c r="I30" i="4"/>
  <c r="I14" i="4"/>
  <c r="I27" i="1"/>
  <c r="H35" i="4"/>
  <c r="I29" i="1"/>
  <c r="I19" i="1"/>
  <c r="I31" i="4"/>
  <c r="I26" i="4"/>
  <c r="I14" i="1"/>
  <c r="I13" i="4"/>
  <c r="I31" i="1"/>
  <c r="I17" i="1"/>
  <c r="I29" i="4"/>
  <c r="I24" i="4"/>
  <c r="I20" i="4"/>
  <c r="I26" i="1"/>
  <c r="I24" i="1"/>
  <c r="I11" i="1"/>
  <c r="I15" i="4"/>
  <c r="I10" i="4"/>
  <c r="M16" i="1"/>
  <c r="M24" i="1"/>
  <c r="M33" i="4"/>
  <c r="M17" i="4"/>
  <c r="M24" i="4"/>
  <c r="D16" i="2"/>
  <c r="G23" i="4"/>
  <c r="G32" i="1"/>
  <c r="G11" i="1"/>
  <c r="G29" i="1"/>
  <c r="G18" i="4"/>
  <c r="G20" i="1"/>
  <c r="G20" i="4"/>
  <c r="G13" i="1"/>
  <c r="G15" i="4"/>
  <c r="G31" i="4"/>
  <c r="G10" i="4"/>
  <c r="G17" i="4"/>
  <c r="G33" i="4"/>
  <c r="G12" i="4"/>
  <c r="G28" i="4"/>
  <c r="G24" i="1"/>
  <c r="G25" i="4"/>
  <c r="G19" i="4"/>
  <c r="F35" i="4"/>
  <c r="G14" i="4"/>
  <c r="G30" i="4"/>
  <c r="G22" i="1"/>
  <c r="G21" i="4"/>
  <c r="G10" i="1"/>
  <c r="G16" i="4"/>
  <c r="G32" i="4"/>
  <c r="G21" i="1"/>
  <c r="G12" i="1"/>
  <c r="G30" i="1"/>
  <c r="G22" i="4"/>
  <c r="G13" i="4"/>
  <c r="G29" i="4"/>
  <c r="G14" i="1"/>
  <c r="G24" i="4"/>
  <c r="G28" i="1"/>
  <c r="G27" i="4"/>
  <c r="G26" i="4"/>
  <c r="G15" i="1"/>
  <c r="G27" i="1"/>
  <c r="M31" i="1"/>
  <c r="M15" i="1"/>
  <c r="M29" i="1"/>
  <c r="M33" i="1"/>
  <c r="M19" i="1"/>
  <c r="M11" i="1"/>
  <c r="M23" i="4"/>
  <c r="M30" i="4"/>
  <c r="M14" i="4"/>
  <c r="K28" i="1"/>
  <c r="K26" i="4"/>
  <c r="K10" i="4"/>
  <c r="K20" i="1"/>
  <c r="K12" i="1"/>
  <c r="K25" i="4"/>
  <c r="I30" i="1"/>
  <c r="D7" i="2"/>
  <c r="I18" i="1"/>
  <c r="I10" i="1"/>
  <c r="I21" i="4"/>
  <c r="I28" i="4"/>
  <c r="I12" i="4"/>
  <c r="M18" i="1"/>
  <c r="M10" i="1"/>
  <c r="M21" i="4"/>
  <c r="M28" i="4"/>
  <c r="M12" i="4"/>
  <c r="K29" i="1"/>
  <c r="K33" i="1"/>
  <c r="K24" i="4"/>
  <c r="K27" i="1"/>
  <c r="K19" i="1"/>
  <c r="K11" i="1"/>
  <c r="K23" i="4"/>
  <c r="G16" i="1"/>
  <c r="G31" i="1"/>
  <c r="G23" i="1"/>
  <c r="M30" i="1"/>
  <c r="M17" i="1"/>
  <c r="L35" i="4"/>
  <c r="M19" i="4"/>
  <c r="M26" i="4"/>
  <c r="M10" i="4"/>
  <c r="K22" i="4"/>
  <c r="K26" i="1"/>
  <c r="K18" i="1"/>
  <c r="K10" i="1"/>
  <c r="K21" i="4"/>
  <c r="M31" i="4"/>
  <c r="M22" i="4"/>
  <c r="M22" i="1"/>
  <c r="M29" i="4"/>
  <c r="M13" i="4"/>
  <c r="M20" i="4"/>
  <c r="K31" i="1"/>
  <c r="K32" i="4"/>
  <c r="K16" i="4"/>
  <c r="K23" i="1"/>
  <c r="K15" i="1"/>
  <c r="K31" i="4"/>
  <c r="K15" i="4"/>
  <c r="M28" i="1"/>
  <c r="M32" i="1"/>
  <c r="I21" i="1"/>
  <c r="I13" i="1"/>
  <c r="I27" i="4"/>
  <c r="I11" i="4"/>
  <c r="I18" i="4"/>
  <c r="M21" i="1"/>
  <c r="M13" i="1"/>
  <c r="M27" i="4"/>
  <c r="M11" i="4"/>
  <c r="M18" i="4"/>
  <c r="M26" i="1"/>
  <c r="K30" i="4"/>
  <c r="K14" i="4"/>
  <c r="K22" i="1"/>
  <c r="K14" i="1"/>
  <c r="K29" i="4"/>
  <c r="K13" i="4"/>
  <c r="D4" i="2"/>
  <c r="G26" i="1"/>
  <c r="M23" i="1"/>
  <c r="M15" i="4"/>
  <c r="M14" i="1"/>
  <c r="I20" i="1"/>
  <c r="I12" i="1"/>
  <c r="I25" i="4"/>
  <c r="I32" i="4"/>
  <c r="I16" i="4"/>
  <c r="M20" i="1"/>
  <c r="M12" i="1"/>
  <c r="M25" i="4"/>
  <c r="M32" i="4"/>
  <c r="M16" i="4"/>
  <c r="M27" i="1"/>
  <c r="K32" i="1"/>
  <c r="K28" i="4"/>
  <c r="K12" i="4"/>
  <c r="K21" i="1"/>
  <c r="K13" i="1"/>
  <c r="K27" i="4"/>
  <c r="K11" i="4"/>
  <c r="F35" i="1"/>
  <c r="G33" i="1"/>
  <c r="G25" i="1"/>
  <c r="G19" i="1"/>
  <c r="G18" i="1"/>
  <c r="G17" i="1"/>
  <c r="L35" i="1"/>
  <c r="AG31" i="1" l="1"/>
  <c r="AG30" i="1"/>
  <c r="AF30" i="1"/>
  <c r="AF26" i="1"/>
  <c r="AE26" i="1"/>
  <c r="Y29" i="1" s="1"/>
  <c r="AP17" i="1" s="1"/>
  <c r="AA29" i="1" s="1"/>
  <c r="AG26" i="1"/>
  <c r="AF27" i="1"/>
  <c r="AE27" i="1"/>
  <c r="AG27" i="1"/>
  <c r="AG28" i="1"/>
  <c r="AE28" i="1"/>
  <c r="AF28" i="1"/>
  <c r="E16" i="1"/>
  <c r="E24" i="1"/>
  <c r="E25" i="1"/>
  <c r="E23" i="4"/>
  <c r="E33" i="4"/>
  <c r="E16" i="4"/>
  <c r="E33" i="1"/>
  <c r="E11" i="4"/>
  <c r="E17" i="4"/>
  <c r="E17" i="1"/>
  <c r="E18" i="1"/>
  <c r="E21" i="4"/>
  <c r="E32" i="1"/>
  <c r="E27" i="4"/>
  <c r="E21" i="1"/>
  <c r="E29" i="4"/>
  <c r="E23" i="1"/>
  <c r="E10" i="4"/>
  <c r="AB10" i="4" s="1"/>
  <c r="E20" i="4"/>
  <c r="E22" i="1"/>
  <c r="E19" i="4"/>
  <c r="E20" i="1"/>
  <c r="E15" i="4"/>
  <c r="E11" i="1"/>
  <c r="E30" i="4"/>
  <c r="E25" i="4"/>
  <c r="E13" i="4"/>
  <c r="E14" i="4"/>
  <c r="E28" i="4"/>
  <c r="E12" i="4"/>
  <c r="E29" i="1"/>
  <c r="E27" i="1"/>
  <c r="E18" i="4"/>
  <c r="E22" i="4"/>
  <c r="E13" i="1"/>
  <c r="E26" i="4"/>
  <c r="E24" i="4"/>
  <c r="E31" i="4"/>
  <c r="E30" i="1"/>
  <c r="E28" i="1"/>
  <c r="E32" i="4"/>
  <c r="E12" i="1"/>
  <c r="E15" i="1"/>
  <c r="E19" i="1"/>
  <c r="E10" i="1"/>
  <c r="AW7" i="1" s="1"/>
  <c r="E26" i="1"/>
  <c r="E14" i="1"/>
  <c r="E31" i="1"/>
  <c r="Y30" i="1" l="1"/>
  <c r="AP18" i="1" s="1"/>
  <c r="AA30" i="1" s="1"/>
  <c r="AF31" i="1"/>
  <c r="Y31" i="1"/>
  <c r="AE29" i="1"/>
  <c r="AF29" i="1"/>
  <c r="AG29" i="1"/>
  <c r="AB11" i="4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W8" i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E35" i="4"/>
  <c r="E35" i="1"/>
  <c r="Q26" i="1" l="1"/>
  <c r="R26" i="1" s="1"/>
  <c r="Q29" i="4"/>
  <c r="R29" i="4" s="1"/>
  <c r="Q23" i="1"/>
  <c r="R23" i="1" s="1"/>
  <c r="Q10" i="1"/>
  <c r="Q20" i="1"/>
  <c r="R20" i="1" s="1"/>
  <c r="Q19" i="4"/>
  <c r="R19" i="4" s="1"/>
  <c r="Q12" i="4"/>
  <c r="R12" i="4" s="1"/>
  <c r="Q21" i="1"/>
  <c r="R21" i="1" s="1"/>
  <c r="Q13" i="1"/>
  <c r="R13" i="1" s="1"/>
  <c r="Q32" i="1"/>
  <c r="R32" i="1" s="1"/>
  <c r="Q32" i="4"/>
  <c r="R32" i="4" s="1"/>
  <c r="Q16" i="4"/>
  <c r="R16" i="4" s="1"/>
  <c r="Q30" i="4"/>
  <c r="R30" i="4" s="1"/>
  <c r="Q28" i="1"/>
  <c r="R28" i="1" s="1"/>
  <c r="G46" i="1"/>
  <c r="Q29" i="1"/>
  <c r="R29" i="1" s="1"/>
  <c r="Q19" i="1"/>
  <c r="R19" i="1" s="1"/>
  <c r="Q17" i="1"/>
  <c r="R17" i="1" s="1"/>
  <c r="Q12" i="1"/>
  <c r="Q26" i="4"/>
  <c r="R26" i="4" s="1"/>
  <c r="Q15" i="4"/>
  <c r="R15" i="4" s="1"/>
  <c r="Q20" i="4"/>
  <c r="R20" i="4" s="1"/>
  <c r="Q17" i="4"/>
  <c r="R17" i="4" s="1"/>
  <c r="Q33" i="1"/>
  <c r="R33" i="1" s="1"/>
  <c r="Q16" i="1"/>
  <c r="R16" i="1" s="1"/>
  <c r="Q21" i="4"/>
  <c r="R21" i="4" s="1"/>
  <c r="Q31" i="1"/>
  <c r="R31" i="1" s="1"/>
  <c r="Q22" i="1"/>
  <c r="R22" i="1" s="1"/>
  <c r="Q11" i="1"/>
  <c r="Q30" i="1"/>
  <c r="R30" i="1" s="1"/>
  <c r="Q18" i="4"/>
  <c r="R18" i="4" s="1"/>
  <c r="Q31" i="4"/>
  <c r="R31" i="4" s="1"/>
  <c r="Q11" i="4"/>
  <c r="R11" i="4" s="1"/>
  <c r="Q24" i="4"/>
  <c r="R24" i="4" s="1"/>
  <c r="Q33" i="4"/>
  <c r="R33" i="4" s="1"/>
  <c r="Q24" i="1"/>
  <c r="R24" i="1" s="1"/>
  <c r="Q25" i="4"/>
  <c r="R25" i="4" s="1"/>
  <c r="Q15" i="1"/>
  <c r="R15" i="1" s="1"/>
  <c r="Q22" i="4"/>
  <c r="R22" i="4" s="1"/>
  <c r="Q13" i="4"/>
  <c r="R13" i="4" s="1"/>
  <c r="Q23" i="4"/>
  <c r="R23" i="4" s="1"/>
  <c r="Q14" i="1"/>
  <c r="R14" i="1" s="1"/>
  <c r="Q27" i="4"/>
  <c r="R27" i="4" s="1"/>
  <c r="Q25" i="1"/>
  <c r="R25" i="1" s="1"/>
  <c r="Q28" i="4"/>
  <c r="R28" i="4" s="1"/>
  <c r="Q14" i="4"/>
  <c r="R14" i="4" s="1"/>
  <c r="Q18" i="1"/>
  <c r="R18" i="1" s="1"/>
  <c r="Q27" i="1"/>
  <c r="R27" i="1" s="1"/>
  <c r="Q10" i="4"/>
  <c r="AV7" i="1" l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R10" i="1"/>
  <c r="P35" i="1"/>
  <c r="R12" i="1"/>
  <c r="R11" i="1"/>
  <c r="R10" i="4"/>
  <c r="P35" i="4"/>
  <c r="AA10" i="4"/>
  <c r="AA11" i="4" s="1"/>
  <c r="AA12" i="4" s="1"/>
  <c r="AA13" i="4" s="1"/>
  <c r="AA14" i="4" s="1"/>
  <c r="AA15" i="4" s="1"/>
  <c r="AA16" i="4" s="1"/>
  <c r="AA17" i="4" s="1"/>
  <c r="AA18" i="4" s="1"/>
  <c r="AA19" i="4" s="1"/>
  <c r="AA20" i="4" s="1"/>
  <c r="AA21" i="4" s="1"/>
  <c r="AA22" i="4" s="1"/>
  <c r="AA23" i="4" s="1"/>
  <c r="AA24" i="4" s="1"/>
  <c r="AA25" i="4" s="1"/>
  <c r="AA26" i="4" s="1"/>
  <c r="AA27" i="4" s="1"/>
  <c r="AA28" i="4" s="1"/>
  <c r="AA29" i="4" s="1"/>
  <c r="AA30" i="4" s="1"/>
  <c r="AA31" i="4" s="1"/>
  <c r="AA32" i="4" s="1"/>
  <c r="AA33" i="4" s="1"/>
  <c r="AS7" i="1" l="1"/>
  <c r="AS8" i="1" s="1"/>
  <c r="AS9" i="1" s="1"/>
  <c r="R34" i="1"/>
  <c r="X10" i="4"/>
  <c r="X11" i="4" s="1"/>
  <c r="X12" i="4" s="1"/>
  <c r="T10" i="4"/>
  <c r="R34" i="4"/>
  <c r="D9" i="2"/>
  <c r="G70" i="1"/>
  <c r="G72" i="1" s="1"/>
  <c r="S10" i="4" l="1"/>
  <c r="U10" i="4"/>
  <c r="AR7" i="1"/>
  <c r="G40" i="1"/>
  <c r="W10" i="4"/>
  <c r="W11" i="4" s="1"/>
  <c r="G40" i="4"/>
  <c r="G10" i="2"/>
  <c r="D10" i="2"/>
  <c r="G75" i="1"/>
  <c r="G73" i="1"/>
  <c r="F81" i="1" s="1"/>
  <c r="AS10" i="1"/>
  <c r="X13" i="4"/>
  <c r="AR8" i="1" l="1"/>
  <c r="AT7" i="1"/>
  <c r="Y10" i="4"/>
  <c r="W12" i="4"/>
  <c r="Y11" i="4"/>
  <c r="AC10" i="4"/>
  <c r="T11" i="4"/>
  <c r="X14" i="4"/>
  <c r="AS11" i="1"/>
  <c r="W13" i="4" l="1"/>
  <c r="Y12" i="4"/>
  <c r="AR9" i="1"/>
  <c r="AT8" i="1"/>
  <c r="S11" i="4"/>
  <c r="U11" i="4"/>
  <c r="X15" i="4"/>
  <c r="AS12" i="1"/>
  <c r="AC11" i="4" l="1"/>
  <c r="T12" i="4"/>
  <c r="AR10" i="1"/>
  <c r="AT9" i="1"/>
  <c r="W14" i="4"/>
  <c r="Y13" i="4"/>
  <c r="AS13" i="1"/>
  <c r="X16" i="4"/>
  <c r="S12" i="4" l="1"/>
  <c r="U12" i="4"/>
  <c r="W15" i="4"/>
  <c r="Y14" i="4"/>
  <c r="AR11" i="1"/>
  <c r="AT10" i="1"/>
  <c r="X17" i="4"/>
  <c r="AS14" i="1"/>
  <c r="W16" i="4" l="1"/>
  <c r="Y15" i="4"/>
  <c r="AR12" i="1"/>
  <c r="AT11" i="1"/>
  <c r="AC12" i="4"/>
  <c r="T13" i="4"/>
  <c r="X18" i="4"/>
  <c r="AS15" i="1"/>
  <c r="S13" i="4" l="1"/>
  <c r="U13" i="4"/>
  <c r="AR13" i="1"/>
  <c r="AT12" i="1"/>
  <c r="W17" i="4"/>
  <c r="Y16" i="4"/>
  <c r="AS16" i="1"/>
  <c r="X19" i="4"/>
  <c r="W18" i="4" l="1"/>
  <c r="Y17" i="4"/>
  <c r="AC13" i="4"/>
  <c r="T14" i="4"/>
  <c r="AR14" i="1"/>
  <c r="AT13" i="1"/>
  <c r="AS17" i="1"/>
  <c r="X20" i="4"/>
  <c r="AR15" i="1" l="1"/>
  <c r="AT14" i="1"/>
  <c r="S14" i="4"/>
  <c r="U14" i="4"/>
  <c r="W19" i="4"/>
  <c r="Y18" i="4"/>
  <c r="X21" i="4"/>
  <c r="AS18" i="1"/>
  <c r="W20" i="4" l="1"/>
  <c r="Y19" i="4"/>
  <c r="AC14" i="4"/>
  <c r="T15" i="4"/>
  <c r="AR16" i="1"/>
  <c r="AT15" i="1"/>
  <c r="AS19" i="1"/>
  <c r="X22" i="4"/>
  <c r="AR17" i="1" l="1"/>
  <c r="AT16" i="1"/>
  <c r="S15" i="4"/>
  <c r="U15" i="4"/>
  <c r="W21" i="4"/>
  <c r="Y20" i="4"/>
  <c r="AS20" i="1"/>
  <c r="X23" i="4"/>
  <c r="AC15" i="4" l="1"/>
  <c r="T16" i="4"/>
  <c r="S16" i="4" s="1"/>
  <c r="W22" i="4"/>
  <c r="Y21" i="4"/>
  <c r="AR18" i="1"/>
  <c r="AT17" i="1"/>
  <c r="X24" i="4"/>
  <c r="AS21" i="1"/>
  <c r="U16" i="4" l="1"/>
  <c r="T17" i="4" s="1"/>
  <c r="S17" i="4" s="1"/>
  <c r="W23" i="4"/>
  <c r="Y22" i="4"/>
  <c r="AR19" i="1"/>
  <c r="AT18" i="1"/>
  <c r="X25" i="4"/>
  <c r="AS22" i="1"/>
  <c r="AC16" i="4" l="1"/>
  <c r="U17" i="4"/>
  <c r="T18" i="4" s="1"/>
  <c r="S18" i="4" s="1"/>
  <c r="W24" i="4"/>
  <c r="Y23" i="4"/>
  <c r="AR20" i="1"/>
  <c r="AT19" i="1"/>
  <c r="AS23" i="1"/>
  <c r="X26" i="4"/>
  <c r="AC17" i="4" l="1"/>
  <c r="AR21" i="1"/>
  <c r="AT20" i="1"/>
  <c r="W25" i="4"/>
  <c r="Y24" i="4"/>
  <c r="AS24" i="1"/>
  <c r="U18" i="4"/>
  <c r="X27" i="4"/>
  <c r="W26" i="4" l="1"/>
  <c r="Y25" i="4"/>
  <c r="AR22" i="1"/>
  <c r="AT21" i="1"/>
  <c r="AC18" i="4"/>
  <c r="T19" i="4"/>
  <c r="S19" i="4" s="1"/>
  <c r="X28" i="4"/>
  <c r="AS25" i="1"/>
  <c r="AR23" i="1" l="1"/>
  <c r="AT22" i="1"/>
  <c r="W27" i="4"/>
  <c r="Y26" i="4"/>
  <c r="U19" i="4"/>
  <c r="X29" i="4"/>
  <c r="AS26" i="1"/>
  <c r="AR24" i="1" l="1"/>
  <c r="AT23" i="1"/>
  <c r="W28" i="4"/>
  <c r="Y27" i="4"/>
  <c r="AS27" i="1"/>
  <c r="AC19" i="4"/>
  <c r="T20" i="4"/>
  <c r="S20" i="4" s="1"/>
  <c r="X30" i="4"/>
  <c r="W29" i="4" l="1"/>
  <c r="Y28" i="4"/>
  <c r="AR25" i="1"/>
  <c r="AT24" i="1"/>
  <c r="X31" i="4"/>
  <c r="AS28" i="1"/>
  <c r="U20" i="4"/>
  <c r="W30" i="4" l="1"/>
  <c r="Y29" i="4"/>
  <c r="AR26" i="1"/>
  <c r="AT25" i="1"/>
  <c r="X32" i="4"/>
  <c r="AC20" i="4"/>
  <c r="T21" i="4"/>
  <c r="S21" i="4" s="1"/>
  <c r="AS29" i="1"/>
  <c r="AR27" i="1" l="1"/>
  <c r="AT26" i="1"/>
  <c r="W31" i="4"/>
  <c r="Y30" i="4"/>
  <c r="AS30" i="1"/>
  <c r="X33" i="4"/>
  <c r="U21" i="4"/>
  <c r="W32" i="4" l="1"/>
  <c r="Y31" i="4"/>
  <c r="AR28" i="1"/>
  <c r="AT27" i="1"/>
  <c r="AC21" i="4"/>
  <c r="T22" i="4"/>
  <c r="S22" i="4" s="1"/>
  <c r="AR29" i="1" l="1"/>
  <c r="AT28" i="1"/>
  <c r="W33" i="4"/>
  <c r="Y33" i="4" s="1"/>
  <c r="Y32" i="4"/>
  <c r="U22" i="4"/>
  <c r="Y36" i="4" l="1"/>
  <c r="Y35" i="4"/>
  <c r="AR30" i="1"/>
  <c r="AT30" i="1" s="1"/>
  <c r="AT29" i="1"/>
  <c r="AC22" i="4"/>
  <c r="T23" i="4"/>
  <c r="S23" i="4" s="1"/>
  <c r="AT32" i="1" l="1"/>
  <c r="AT33" i="1"/>
  <c r="Y37" i="4"/>
  <c r="J41" i="4" s="1"/>
  <c r="G41" i="4" s="1"/>
  <c r="U23" i="4"/>
  <c r="AT34" i="1" l="1"/>
  <c r="J41" i="1" s="1"/>
  <c r="G41" i="1" s="1"/>
  <c r="AC23" i="4"/>
  <c r="T24" i="4"/>
  <c r="S24" i="4" s="1"/>
  <c r="U24" i="4" l="1"/>
  <c r="AC24" i="4" l="1"/>
  <c r="T25" i="4"/>
  <c r="S25" i="4" s="1"/>
  <c r="U25" i="4" l="1"/>
  <c r="AC25" i="4" l="1"/>
  <c r="T26" i="4"/>
  <c r="S26" i="4" s="1"/>
  <c r="U26" i="4" l="1"/>
  <c r="AC26" i="4" l="1"/>
  <c r="T27" i="4"/>
  <c r="S27" i="4" s="1"/>
  <c r="U27" i="4" l="1"/>
  <c r="AC27" i="4" l="1"/>
  <c r="T28" i="4"/>
  <c r="S28" i="4" s="1"/>
  <c r="U28" i="4" l="1"/>
  <c r="AC28" i="4" l="1"/>
  <c r="T29" i="4"/>
  <c r="S29" i="4" s="1"/>
  <c r="U29" i="4" l="1"/>
  <c r="AC29" i="4" l="1"/>
  <c r="T30" i="4"/>
  <c r="S30" i="4" s="1"/>
  <c r="U30" i="4" l="1"/>
  <c r="AC30" i="4" l="1"/>
  <c r="T31" i="4"/>
  <c r="S31" i="4" s="1"/>
  <c r="U31" i="4" l="1"/>
  <c r="AC31" i="4" l="1"/>
  <c r="T32" i="4"/>
  <c r="S32" i="4" s="1"/>
  <c r="U32" i="4" l="1"/>
  <c r="AC32" i="4" l="1"/>
  <c r="T33" i="4"/>
  <c r="S33" i="4" s="1"/>
  <c r="U33" i="4" l="1"/>
  <c r="AC33" i="4" s="1"/>
  <c r="AX6" i="1"/>
  <c r="T10" i="1"/>
  <c r="U10" i="1" s="1"/>
  <c r="AX7" i="1" l="1"/>
  <c r="T11" i="1"/>
  <c r="S11" i="1" s="1"/>
  <c r="S10" i="1"/>
  <c r="U11" i="1" l="1"/>
  <c r="AX8" i="1" l="1"/>
  <c r="T12" i="1"/>
  <c r="S12" i="1" s="1"/>
  <c r="U12" i="1" l="1"/>
  <c r="T13" i="1" l="1"/>
  <c r="S13" i="1" s="1"/>
  <c r="AX9" i="1"/>
  <c r="U13" i="1" l="1"/>
  <c r="T14" i="1" l="1"/>
  <c r="S14" i="1" s="1"/>
  <c r="AX10" i="1"/>
  <c r="U14" i="1" l="1"/>
  <c r="T15" i="1" l="1"/>
  <c r="S15" i="1" s="1"/>
  <c r="AX11" i="1"/>
  <c r="U15" i="1" l="1"/>
  <c r="AX12" i="1" l="1"/>
  <c r="T16" i="1"/>
  <c r="S16" i="1" s="1"/>
  <c r="U16" i="1" l="1"/>
  <c r="T17" i="1" l="1"/>
  <c r="S17" i="1" s="1"/>
  <c r="AX13" i="1"/>
  <c r="U17" i="1" l="1"/>
  <c r="T18" i="1" l="1"/>
  <c r="S18" i="1" s="1"/>
  <c r="AX14" i="1"/>
  <c r="U18" i="1" l="1"/>
  <c r="AX15" i="1" l="1"/>
  <c r="T19" i="1"/>
  <c r="S19" i="1" s="1"/>
  <c r="U19" i="1" l="1"/>
  <c r="T20" i="1" l="1"/>
  <c r="S20" i="1" s="1"/>
  <c r="AX16" i="1"/>
  <c r="U20" i="1" l="1"/>
  <c r="AX17" i="1" l="1"/>
  <c r="T21" i="1"/>
  <c r="S21" i="1" s="1"/>
  <c r="U21" i="1" l="1"/>
  <c r="T22" i="1" l="1"/>
  <c r="S22" i="1" s="1"/>
  <c r="AX18" i="1"/>
  <c r="U22" i="1" l="1"/>
  <c r="AX19" i="1" l="1"/>
  <c r="T23" i="1"/>
  <c r="S23" i="1" s="1"/>
  <c r="U23" i="1" l="1"/>
  <c r="T24" i="1" s="1"/>
  <c r="S24" i="1" s="1"/>
  <c r="AX20" i="1" l="1"/>
  <c r="U24" i="1"/>
  <c r="AX21" i="1" s="1"/>
  <c r="T25" i="1" l="1"/>
  <c r="S25" i="1" s="1"/>
  <c r="U25" i="1" l="1"/>
  <c r="AX22" i="1" s="1"/>
  <c r="T26" i="1" l="1"/>
  <c r="S26" i="1" s="1"/>
  <c r="U26" i="1" l="1"/>
  <c r="AX23" i="1" s="1"/>
  <c r="T27" i="1" l="1"/>
  <c r="S27" i="1" s="1"/>
  <c r="U27" i="1" l="1"/>
  <c r="T28" i="1" s="1"/>
  <c r="S28" i="1" s="1"/>
  <c r="AX24" i="1" l="1"/>
  <c r="U28" i="1"/>
  <c r="T29" i="1" l="1"/>
  <c r="S29" i="1" s="1"/>
  <c r="AX25" i="1"/>
  <c r="U29" i="1" l="1"/>
  <c r="T30" i="1" l="1"/>
  <c r="S30" i="1" s="1"/>
  <c r="AX26" i="1"/>
  <c r="U30" i="1" l="1"/>
  <c r="AX27" i="1" s="1"/>
  <c r="T31" i="1" l="1"/>
  <c r="S31" i="1" s="1"/>
  <c r="U31" i="1" l="1"/>
  <c r="T32" i="1" s="1"/>
  <c r="S32" i="1" s="1"/>
  <c r="AX28" i="1" l="1"/>
  <c r="U32" i="1"/>
  <c r="T33" i="1" s="1"/>
  <c r="S33" i="1" s="1"/>
  <c r="AX29" i="1" l="1"/>
  <c r="U33" i="1"/>
  <c r="AX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Špindler Filip</author>
  </authors>
  <commentList>
    <comment ref="Y9" authorId="0" shapeId="0" xr:uid="{DF460206-CB7A-4284-9C8B-0EF9093C0FCE}">
      <text>
        <r>
          <rPr>
            <b/>
            <sz val="9"/>
            <color indexed="81"/>
            <rFont val="Tahoma"/>
            <family val="2"/>
            <charset val="238"/>
          </rPr>
          <t>Špindler Filip:</t>
        </r>
        <r>
          <rPr>
            <sz val="9"/>
            <color indexed="81"/>
            <rFont val="Tahoma"/>
            <family val="2"/>
            <charset val="238"/>
          </rPr>
          <t xml:space="preserve">
Pro provozy obytných staveb má sprcha dominantní odběr a je pak vhodné na tyto hodnoty navrhovat špičkovou hodnotu odběru teplé vody</t>
        </r>
      </text>
    </comment>
    <comment ref="Y10" authorId="0" shapeId="0" xr:uid="{7D023354-A4E9-4620-93C7-9B48F2AFDA2E}">
      <text>
        <r>
          <rPr>
            <b/>
            <sz val="9"/>
            <color indexed="81"/>
            <rFont val="Tahoma"/>
            <family val="2"/>
            <charset val="238"/>
          </rPr>
          <t>Špindler Filip:</t>
        </r>
        <r>
          <rPr>
            <sz val="9"/>
            <color indexed="81"/>
            <rFont val="Tahoma"/>
            <family val="2"/>
            <charset val="238"/>
          </rPr>
          <t xml:space="preserve">
Jedná se o doporučenou výtoku teplé vody pro sprchu</t>
        </r>
      </text>
    </comment>
    <comment ref="Y16" authorId="0" shapeId="0" xr:uid="{142BF05E-C952-4D93-9D5E-180EC2E9DE25}">
      <text>
        <r>
          <rPr>
            <b/>
            <sz val="9"/>
            <color indexed="81"/>
            <rFont val="Tahoma"/>
            <family val="2"/>
            <charset val="238"/>
          </rPr>
          <t>Špindler Filip:</t>
        </r>
        <r>
          <rPr>
            <sz val="9"/>
            <color indexed="81"/>
            <rFont val="Tahoma"/>
            <family val="2"/>
            <charset val="238"/>
          </rPr>
          <t xml:space="preserve">
V případě navrhování jiného typu provozu je zde k dispozici toto zadávací pole při stanovení vlastní provozní špičky</t>
        </r>
      </text>
    </comment>
  </commentList>
</comments>
</file>

<file path=xl/sharedStrings.xml><?xml version="1.0" encoding="utf-8"?>
<sst xmlns="http://schemas.openxmlformats.org/spreadsheetml/2006/main" count="446" uniqueCount="195">
  <si>
    <t>Dimenzování ohřevu teplé vody</t>
  </si>
  <si>
    <t>doba</t>
  </si>
  <si>
    <t>-</t>
  </si>
  <si>
    <t>celkem</t>
  </si>
  <si>
    <t>uživatelé</t>
  </si>
  <si>
    <t>personál</t>
  </si>
  <si>
    <t>gastro</t>
  </si>
  <si>
    <t>úklid</t>
  </si>
  <si>
    <t>ostatní</t>
  </si>
  <si>
    <t>%</t>
  </si>
  <si>
    <t>kWh</t>
  </si>
  <si>
    <t>potřeba tepla pro přípravu TV v průběhu dne</t>
  </si>
  <si>
    <t>ideální stav</t>
  </si>
  <si>
    <t>navrhovaný stav</t>
  </si>
  <si>
    <t>objem akumulace</t>
  </si>
  <si>
    <t>kW</t>
  </si>
  <si>
    <r>
      <t>m</t>
    </r>
    <r>
      <rPr>
        <vertAlign val="superscript"/>
        <sz val="10"/>
        <rFont val="Arial"/>
        <family val="2"/>
        <charset val="238"/>
      </rPr>
      <t>3</t>
    </r>
  </si>
  <si>
    <t>potřeba tepla</t>
  </si>
  <si>
    <t>osob</t>
  </si>
  <si>
    <t>byty</t>
  </si>
  <si>
    <t>hotel</t>
  </si>
  <si>
    <t>ubytovna</t>
  </si>
  <si>
    <t>nemocnice</t>
  </si>
  <si>
    <t>lůžek</t>
  </si>
  <si>
    <t>čistý provoz</t>
  </si>
  <si>
    <t>špinavý provoz</t>
  </si>
  <si>
    <t>jen výdej</t>
  </si>
  <si>
    <t>malý sortiment</t>
  </si>
  <si>
    <t>restaurace</t>
  </si>
  <si>
    <t>jídel</t>
  </si>
  <si>
    <t>kWh/jídlo</t>
  </si>
  <si>
    <t>kWh/osoba.směna</t>
  </si>
  <si>
    <t>kWh/osoba.den</t>
  </si>
  <si>
    <t>plocha</t>
  </si>
  <si>
    <r>
      <t>kWh/100m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</si>
  <si>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</si>
  <si>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množství vody</t>
  </si>
  <si>
    <r>
      <t>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</si>
  <si>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t>sportovní zařízení</t>
  </si>
  <si>
    <t>sportovců</t>
  </si>
  <si>
    <t>kWh/sportovců.den</t>
  </si>
  <si>
    <t>uživatelé - celkem</t>
  </si>
  <si>
    <t>personál - celkem</t>
  </si>
  <si>
    <t>gastro - celkem</t>
  </si>
  <si>
    <t>úklid - celkem</t>
  </si>
  <si>
    <t>ostatní - celkem</t>
  </si>
  <si>
    <t>uvažovaný ohřev z 10°C na 55°C</t>
  </si>
  <si>
    <t>celkové hodnoty</t>
  </si>
  <si>
    <t>ztráta</t>
  </si>
  <si>
    <t xml:space="preserve">z = </t>
  </si>
  <si>
    <t>koeficient</t>
  </si>
  <si>
    <t>spotřeba</t>
  </si>
  <si>
    <t>celková</t>
  </si>
  <si>
    <t>výkon</t>
  </si>
  <si>
    <t>tj.</t>
  </si>
  <si>
    <t>ohřívače</t>
  </si>
  <si>
    <t>energie</t>
  </si>
  <si>
    <t>akumul.</t>
  </si>
  <si>
    <t>v čase 0 je nádrž nabitá</t>
  </si>
  <si>
    <t>pomocné</t>
  </si>
  <si>
    <t>kumul</t>
  </si>
  <si>
    <t>rozdíl</t>
  </si>
  <si>
    <t>min</t>
  </si>
  <si>
    <t>max</t>
  </si>
  <si>
    <t xml:space="preserve">   (doporučuju doplnit údaj z U32)</t>
  </si>
  <si>
    <r>
      <t>!</t>
    </r>
    <r>
      <rPr>
        <sz val="10"/>
        <rFont val="Arial"/>
        <family val="2"/>
        <charset val="238"/>
      </rPr>
      <t>možno měnit hodnoty</t>
    </r>
    <r>
      <rPr>
        <b/>
        <sz val="10"/>
        <rFont val="Arial"/>
        <family val="2"/>
        <charset val="238"/>
      </rPr>
      <t>!</t>
    </r>
  </si>
  <si>
    <t>graf</t>
  </si>
  <si>
    <t>potřeba</t>
  </si>
  <si>
    <t>akumulace</t>
  </si>
  <si>
    <t>čas</t>
  </si>
  <si>
    <t>Dimenzování spotřeby teplé vody</t>
  </si>
  <si>
    <t>ztráty v rozvodech</t>
  </si>
  <si>
    <t>=</t>
  </si>
  <si>
    <t>GJ</t>
  </si>
  <si>
    <t>navrhovaný výkon ohřívače</t>
  </si>
  <si>
    <t>navrhovaný objem akumulační nádrže</t>
  </si>
  <si>
    <r>
      <t>m</t>
    </r>
    <r>
      <rPr>
        <b/>
        <vertAlign val="superscript"/>
        <sz val="12"/>
        <rFont val="Arial"/>
        <family val="2"/>
        <charset val="238"/>
      </rPr>
      <t>3</t>
    </r>
  </si>
  <si>
    <t>což odpovídá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</si>
  <si>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</si>
  <si>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celková spotřeba tepla</t>
  </si>
  <si>
    <t>m3/den</t>
  </si>
  <si>
    <t>odpovídá</t>
  </si>
  <si>
    <t>cirkulace teplé vody</t>
  </si>
  <si>
    <t>ztráta v rozvodech</t>
  </si>
  <si>
    <t xml:space="preserve"> kW</t>
  </si>
  <si>
    <t>rozdíl TV - cirkulace</t>
  </si>
  <si>
    <t xml:space="preserve"> K </t>
  </si>
  <si>
    <t>2-3 K</t>
  </si>
  <si>
    <t>průtok cirkulací</t>
  </si>
  <si>
    <t xml:space="preserve"> l/s</t>
  </si>
  <si>
    <t xml:space="preserve"> m3/h</t>
  </si>
  <si>
    <t>dimenze cirkulace</t>
  </si>
  <si>
    <t xml:space="preserve"> </t>
  </si>
  <si>
    <t>DN</t>
  </si>
  <si>
    <t>rychlost v potrubí</t>
  </si>
  <si>
    <t>koeficient místních ztrát</t>
  </si>
  <si>
    <t xml:space="preserve"> 2-3</t>
  </si>
  <si>
    <t>tlaková ztráta rovné tr.</t>
  </si>
  <si>
    <t xml:space="preserve"> Pa/m</t>
  </si>
  <si>
    <t xml:space="preserve"> m/s</t>
  </si>
  <si>
    <t>délka potrubí</t>
  </si>
  <si>
    <t xml:space="preserve"> m</t>
  </si>
  <si>
    <t xml:space="preserve"> kPa</t>
  </si>
  <si>
    <t>cirkulační čerpadlo</t>
  </si>
  <si>
    <t>nabíjecí výkon TV</t>
  </si>
  <si>
    <t xml:space="preserve">   (doporučuju doplnit údaj z U33)</t>
  </si>
  <si>
    <t>l/den</t>
  </si>
  <si>
    <t>hodnoty editovatelné</t>
  </si>
  <si>
    <t>výsledky</t>
  </si>
  <si>
    <t>Parametry zadání pro bytové domy</t>
  </si>
  <si>
    <t>počet sprch</t>
  </si>
  <si>
    <t>počet odběrových míst - sprch</t>
  </si>
  <si>
    <t>výpočtová jednotka</t>
  </si>
  <si>
    <t>l/min (doporučené hodnoty průtoků pro sprchu je 6 l/min/sprcha/55°C voda)</t>
  </si>
  <si>
    <t>kW/sprcha</t>
  </si>
  <si>
    <t>současnost</t>
  </si>
  <si>
    <t>udává počet sprch v provozu</t>
  </si>
  <si>
    <t>c</t>
  </si>
  <si>
    <t>J/kg.K</t>
  </si>
  <si>
    <t>špičkový průtok</t>
  </si>
  <si>
    <t>l/min</t>
  </si>
  <si>
    <t>dt</t>
  </si>
  <si>
    <t>°C</t>
  </si>
  <si>
    <t>výkon/špičkový průtok</t>
  </si>
  <si>
    <t>Typy negativní zásobníku</t>
  </si>
  <si>
    <t>výtok</t>
  </si>
  <si>
    <t>IVT FW</t>
  </si>
  <si>
    <t>sv</t>
  </si>
  <si>
    <t>Zadání pro ostatní provozy</t>
  </si>
  <si>
    <t>objem 300l, plocha výměníkové vložky 6,2 m2</t>
  </si>
  <si>
    <t>tv</t>
  </si>
  <si>
    <t>objem 500l, plocha výměníkové vložky 6,2 m2</t>
  </si>
  <si>
    <t>výtok TV</t>
  </si>
  <si>
    <t>objem 500l, plocha výměníkové vložky 2x6,2 m2</t>
  </si>
  <si>
    <t>l/s</t>
  </si>
  <si>
    <t>objem 750l, plocha výměníkové vložky 6,2 m2</t>
  </si>
  <si>
    <t>W</t>
  </si>
  <si>
    <t>Špičková potřeba</t>
  </si>
  <si>
    <t>objem 750l, plocha výměníkové vložky 2x6,2 m2</t>
  </si>
  <si>
    <t>objem 750l, plocha výměníkové vložky 3x6,2 m2</t>
  </si>
  <si>
    <t xml:space="preserve">Výběr negativního zásobníku </t>
  </si>
  <si>
    <t>typ negativního zásobníku</t>
  </si>
  <si>
    <t>IVT FW 302</t>
  </si>
  <si>
    <t xml:space="preserve">pomocné hodnoty k vyhodnocení </t>
  </si>
  <si>
    <t>počet zásobníků</t>
  </si>
  <si>
    <t>Přehledná tabulka pro všechny typy negativních zásobníků</t>
  </si>
  <si>
    <t>ideální</t>
  </si>
  <si>
    <t>dostatečné</t>
  </si>
  <si>
    <t>špičkový výkon neg. zás.</t>
  </si>
  <si>
    <t>průtok</t>
  </si>
  <si>
    <t>Tlak ztráta</t>
  </si>
  <si>
    <t>Teplota TV</t>
  </si>
  <si>
    <t>Výkon</t>
  </si>
  <si>
    <t>Výkon max</t>
  </si>
  <si>
    <t>špičkový průtok - celkový</t>
  </si>
  <si>
    <t>kPa</t>
  </si>
  <si>
    <t xml:space="preserve">tlak (kPa) </t>
  </si>
  <si>
    <t>špičkový průt/zásobník</t>
  </si>
  <si>
    <t>teplota</t>
  </si>
  <si>
    <t>IVT FW 502</t>
  </si>
  <si>
    <t>Parametry na výstupu negativních zásobníků</t>
  </si>
  <si>
    <t>IVT FW 504</t>
  </si>
  <si>
    <t xml:space="preserve">vyhovující </t>
  </si>
  <si>
    <t>tlak ztráta/1 NZ</t>
  </si>
  <si>
    <t>IVT FW 752</t>
  </si>
  <si>
    <t>teplota teplév vody -výstup</t>
  </si>
  <si>
    <t>nevyhovující</t>
  </si>
  <si>
    <t>výkon výměníku/1 NZ</t>
  </si>
  <si>
    <t>sprcha</t>
  </si>
  <si>
    <t>vana</t>
  </si>
  <si>
    <t xml:space="preserve">Směšovací rovnice </t>
  </si>
  <si>
    <t>Ttv</t>
  </si>
  <si>
    <t>Tsv</t>
  </si>
  <si>
    <t>Tvýstup</t>
  </si>
  <si>
    <t>Celkový výtok armatury</t>
  </si>
  <si>
    <t>Dimenzování negativního zásobníku teplé vody</t>
  </si>
  <si>
    <t>nutno vybrat manuálně</t>
  </si>
  <si>
    <t>IVT FW 754</t>
  </si>
  <si>
    <t>IVT FW 756</t>
  </si>
  <si>
    <t>Návod pro použití výpočetního excelu: Negativní zásobníky</t>
  </si>
  <si>
    <t xml:space="preserve">Úvod: 
Tento výpočetní excel vznikl, jako projektantská pomůcka pro lepší znázornění a pochopení problematiky negativních zásobníků. 
Negativní zásobník, kde příprava teplé vody probíhá ve šroubovitém výměníku průtokově není v ČR příliš rozšířený, avšak je velmi vhodný pro intalace s tepelnými čerpadly. 
Interní systém MaR u tepelných čerpadel počítá při přípravě TV s investováním plného výkonu tepelného čerpadla a to ať už je TČ s kompresorem on/off nebo s modulovatelným výkonem tak, aby nebylo nutné nabíjet zásotbníky TV příliš dlouho. 
Výhoda negativních zásobníků pak spočívá především pro možnost přenosu 100% výkonu tepelného čerpadla při přípravě teplé vody bez nutnost dimenzování akumulací TV s běžnými šneky, kde musíme počítat s maximálním možným přeneseným výkonem na což nemusí běžné zásobníky TV dosáhnout při menších spádech TČ. </t>
  </si>
  <si>
    <t xml:space="preserve">Celý excel obsahuje několik typů podbarvení. </t>
  </si>
  <si>
    <t>Legenda</t>
  </si>
  <si>
    <t>hodnoty editovatelné - do těchto polí lze zadávat data v předepsaném formátu</t>
  </si>
  <si>
    <t>hodnoty vypočítané - nelze editovat</t>
  </si>
  <si>
    <t>mezivýpočty - hodnoty nelze editovat</t>
  </si>
  <si>
    <t xml:space="preserve">Zadání: </t>
  </si>
  <si>
    <t xml:space="preserve">Zadání vstupních hodnot je pouze prostřednictvím jedné hodnoty a to pomocí největší aktuální potřeby teplé vody. 
V obytných stavbách se jedná o sprchy, které mohou běžet současně. 
Po zadání celkového počtu výtokových armatur s největším možným výtokem je vypočítána současnost chodu (počítáno pro sprchy z empirických tabulek vycházejících z rálných probozů bytových domů) </t>
  </si>
  <si>
    <t xml:space="preserve">Volba zásobníků: </t>
  </si>
  <si>
    <t xml:space="preserve">V dalším kroku je nutné zvolit typ a počet zásobníků - rozdíly v typech jsou popsány v tabulce na hlavní stránce. </t>
  </si>
  <si>
    <t xml:space="preserve">Výpočet: </t>
  </si>
  <si>
    <t xml:space="preserve">Ve finálním výpočtu je ukázané, jaká bude teplota na výtoku z negativních zásobníků při vypočítané špičce, ve které je započítaná současnost chodu výtokových armatur. 
Dále je zde vypočítána tlaková ztráta každého negativního zásobníku a výkon všech výměníků. </t>
  </si>
  <si>
    <t>Poznámky k výpočtu:</t>
  </si>
  <si>
    <t xml:space="preserve">Všechna data vychází z naměřených hodnot přímo z provozu každého typu negativního zásobníku. </t>
  </si>
  <si>
    <t>Tvůrce: Ing. Filip Špindler, email: spindler@protc.cz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</si>
</sst>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2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2"/>
      <color rgb="FF00628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5" fillId="0" borderId="14" xfId="0" applyFont="1" applyBorder="1"/>
    <xf numFmtId="0" fontId="0" fillId="0" borderId="19" xfId="0" applyBorder="1"/>
    <xf numFmtId="0" fontId="2" fillId="0" borderId="18" xfId="0" applyFont="1" applyBorder="1"/>
    <xf numFmtId="0" fontId="0" fillId="0" borderId="24" xfId="0" applyBorder="1"/>
    <xf numFmtId="0" fontId="2" fillId="0" borderId="25" xfId="0" applyFont="1" applyBorder="1" applyAlignment="1">
      <alignment horizontal="right"/>
    </xf>
    <xf numFmtId="0" fontId="4" fillId="0" borderId="15" xfId="0" applyFont="1" applyBorder="1"/>
    <xf numFmtId="0" fontId="4" fillId="2" borderId="26" xfId="0" applyFont="1" applyFill="1" applyBorder="1"/>
    <xf numFmtId="0" fontId="4" fillId="2" borderId="27" xfId="0" applyFon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4" fillId="0" borderId="30" xfId="0" applyFont="1" applyBorder="1"/>
    <xf numFmtId="0" fontId="4" fillId="0" borderId="3" xfId="0" applyFont="1" applyBorder="1"/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4" fillId="2" borderId="5" xfId="0" applyFont="1" applyFill="1" applyBorder="1"/>
    <xf numFmtId="1" fontId="0" fillId="0" borderId="26" xfId="0" applyNumberFormat="1" applyBorder="1"/>
    <xf numFmtId="1" fontId="0" fillId="0" borderId="27" xfId="0" applyNumberFormat="1" applyBorder="1"/>
    <xf numFmtId="1" fontId="0" fillId="0" borderId="5" xfId="0" applyNumberFormat="1" applyBorder="1"/>
    <xf numFmtId="1" fontId="0" fillId="0" borderId="34" xfId="0" applyNumberFormat="1" applyBorder="1"/>
    <xf numFmtId="1" fontId="0" fillId="0" borderId="35" xfId="0" applyNumberFormat="1" applyBorder="1"/>
    <xf numFmtId="1" fontId="0" fillId="0" borderId="6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21" xfId="0" applyNumberFormat="1" applyBorder="1"/>
    <xf numFmtId="1" fontId="0" fillId="0" borderId="0" xfId="0" applyNumberFormat="1"/>
    <xf numFmtId="0" fontId="0" fillId="0" borderId="11" xfId="0" applyBorder="1" applyAlignment="1">
      <alignment horizontal="right"/>
    </xf>
    <xf numFmtId="0" fontId="0" fillId="0" borderId="8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0" fillId="0" borderId="9" xfId="0" applyNumberFormat="1" applyBorder="1"/>
    <xf numFmtId="1" fontId="0" fillId="0" borderId="15" xfId="0" applyNumberFormat="1" applyBorder="1"/>
    <xf numFmtId="1" fontId="0" fillId="0" borderId="17" xfId="0" applyNumberFormat="1" applyBorder="1"/>
    <xf numFmtId="1" fontId="0" fillId="0" borderId="25" xfId="0" applyNumberFormat="1" applyBorder="1"/>
    <xf numFmtId="1" fontId="5" fillId="3" borderId="38" xfId="0" applyNumberFormat="1" applyFont="1" applyFill="1" applyBorder="1"/>
    <xf numFmtId="1" fontId="5" fillId="0" borderId="36" xfId="0" applyNumberFormat="1" applyFont="1" applyBorder="1"/>
    <xf numFmtId="0" fontId="0" fillId="0" borderId="39" xfId="0" applyBorder="1" applyAlignment="1">
      <alignment horizontal="center"/>
    </xf>
    <xf numFmtId="1" fontId="2" fillId="0" borderId="40" xfId="0" applyNumberFormat="1" applyFont="1" applyBorder="1"/>
    <xf numFmtId="1" fontId="2" fillId="0" borderId="41" xfId="0" applyNumberFormat="1" applyFont="1" applyBorder="1"/>
    <xf numFmtId="1" fontId="2" fillId="0" borderId="29" xfId="0" applyNumberFormat="1" applyFont="1" applyBorder="1"/>
    <xf numFmtId="164" fontId="0" fillId="0" borderId="0" xfId="0" applyNumberFormat="1"/>
    <xf numFmtId="9" fontId="0" fillId="0" borderId="32" xfId="0" applyNumberFormat="1" applyBorder="1"/>
    <xf numFmtId="9" fontId="0" fillId="0" borderId="33" xfId="0" applyNumberFormat="1" applyBorder="1"/>
    <xf numFmtId="9" fontId="0" fillId="0" borderId="4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3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" fontId="0" fillId="2" borderId="0" xfId="0" applyNumberFormat="1" applyFill="1"/>
    <xf numFmtId="1" fontId="9" fillId="0" borderId="0" xfId="0" applyNumberFormat="1" applyFont="1" applyAlignment="1">
      <alignment horizontal="right"/>
    </xf>
    <xf numFmtId="1" fontId="9" fillId="0" borderId="0" xfId="0" applyNumberFormat="1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2" fillId="0" borderId="0" xfId="0" applyFont="1"/>
    <xf numFmtId="0" fontId="10" fillId="0" borderId="44" xfId="0" applyFont="1" applyBorder="1"/>
    <xf numFmtId="0" fontId="10" fillId="0" borderId="31" xfId="0" applyFont="1" applyBorder="1"/>
    <xf numFmtId="0" fontId="10" fillId="0" borderId="45" xfId="0" applyFont="1" applyBorder="1"/>
    <xf numFmtId="0" fontId="10" fillId="0" borderId="15" xfId="0" applyFont="1" applyBorder="1"/>
    <xf numFmtId="0" fontId="10" fillId="0" borderId="32" xfId="0" applyFont="1" applyBorder="1"/>
    <xf numFmtId="0" fontId="10" fillId="0" borderId="17" xfId="0" applyFont="1" applyBorder="1"/>
    <xf numFmtId="0" fontId="10" fillId="0" borderId="25" xfId="0" applyFont="1" applyBorder="1"/>
    <xf numFmtId="0" fontId="10" fillId="0" borderId="46" xfId="0" applyFont="1" applyBorder="1"/>
    <xf numFmtId="0" fontId="10" fillId="0" borderId="47" xfId="0" applyFont="1" applyBorder="1"/>
    <xf numFmtId="0" fontId="10" fillId="0" borderId="23" xfId="0" applyFont="1" applyBorder="1"/>
    <xf numFmtId="1" fontId="10" fillId="0" borderId="45" xfId="0" applyNumberFormat="1" applyFont="1" applyBorder="1"/>
    <xf numFmtId="0" fontId="8" fillId="0" borderId="33" xfId="0" applyFont="1" applyBorder="1"/>
    <xf numFmtId="0" fontId="8" fillId="0" borderId="5" xfId="0" applyFont="1" applyBorder="1"/>
    <xf numFmtId="0" fontId="8" fillId="0" borderId="48" xfId="0" applyFont="1" applyBorder="1"/>
    <xf numFmtId="0" fontId="8" fillId="0" borderId="25" xfId="0" applyFont="1" applyBorder="1"/>
    <xf numFmtId="0" fontId="11" fillId="0" borderId="49" xfId="0" applyFont="1" applyBorder="1"/>
    <xf numFmtId="0" fontId="11" fillId="0" borderId="50" xfId="0" applyFont="1" applyBorder="1"/>
    <xf numFmtId="0" fontId="8" fillId="0" borderId="49" xfId="0" applyFont="1" applyBorder="1"/>
    <xf numFmtId="0" fontId="8" fillId="0" borderId="50" xfId="0" applyFont="1" applyBorder="1"/>
    <xf numFmtId="0" fontId="1" fillId="0" borderId="0" xfId="0" applyFont="1" applyAlignment="1">
      <alignment horizontal="right"/>
    </xf>
    <xf numFmtId="0" fontId="8" fillId="0" borderId="14" xfId="0" applyFont="1" applyBorder="1"/>
    <xf numFmtId="0" fontId="8" fillId="0" borderId="15" xfId="0" applyFont="1" applyBorder="1"/>
    <xf numFmtId="0" fontId="10" fillId="0" borderId="18" xfId="0" applyFont="1" applyBorder="1"/>
    <xf numFmtId="0" fontId="2" fillId="2" borderId="0" xfId="0" applyFont="1" applyFill="1"/>
    <xf numFmtId="165" fontId="11" fillId="0" borderId="51" xfId="0" applyNumberFormat="1" applyFont="1" applyBorder="1"/>
    <xf numFmtId="16" fontId="0" fillId="0" borderId="0" xfId="0" applyNumberFormat="1"/>
    <xf numFmtId="0" fontId="0" fillId="0" borderId="49" xfId="0" applyBorder="1"/>
    <xf numFmtId="0" fontId="0" fillId="0" borderId="51" xfId="0" applyBorder="1"/>
    <xf numFmtId="0" fontId="0" fillId="5" borderId="51" xfId="0" applyFill="1" applyBorder="1"/>
    <xf numFmtId="0" fontId="0" fillId="5" borderId="50" xfId="0" applyFill="1" applyBorder="1"/>
    <xf numFmtId="1" fontId="0" fillId="0" borderId="0" xfId="0" applyNumberFormat="1" applyAlignment="1">
      <alignment horizontal="right"/>
    </xf>
    <xf numFmtId="0" fontId="0" fillId="0" borderId="27" xfId="0" applyBorder="1" applyAlignment="1">
      <alignment horizontal="center"/>
    </xf>
    <xf numFmtId="0" fontId="0" fillId="0" borderId="27" xfId="0" applyBorder="1"/>
    <xf numFmtId="164" fontId="0" fillId="0" borderId="27" xfId="0" applyNumberFormat="1" applyBorder="1" applyAlignment="1">
      <alignment horizontal="center"/>
    </xf>
    <xf numFmtId="0" fontId="14" fillId="0" borderId="0" xfId="0" applyFont="1" applyAlignment="1">
      <alignment horizontal="left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52" xfId="0" applyBorder="1"/>
    <xf numFmtId="0" fontId="0" fillId="0" borderId="53" xfId="0" applyBorder="1"/>
    <xf numFmtId="0" fontId="1" fillId="0" borderId="0" xfId="0" applyFont="1"/>
    <xf numFmtId="0" fontId="15" fillId="0" borderId="0" xfId="0" applyFont="1" applyAlignment="1">
      <alignment vertical="center" wrapText="1"/>
    </xf>
    <xf numFmtId="0" fontId="14" fillId="0" borderId="52" xfId="0" applyFont="1" applyBorder="1"/>
    <xf numFmtId="0" fontId="2" fillId="2" borderId="0" xfId="0" applyFont="1" applyFill="1" applyAlignment="1">
      <alignment horizontal="center"/>
    </xf>
    <xf numFmtId="0" fontId="14" fillId="0" borderId="0" xfId="0" applyFont="1"/>
    <xf numFmtId="0" fontId="0" fillId="0" borderId="35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1" xfId="0" applyBorder="1"/>
    <xf numFmtId="164" fontId="0" fillId="4" borderId="12" xfId="0" applyNumberFormat="1" applyFill="1" applyBorder="1" applyAlignment="1">
      <alignment horizontal="center"/>
    </xf>
    <xf numFmtId="0" fontId="0" fillId="0" borderId="12" xfId="0" applyBorder="1"/>
    <xf numFmtId="0" fontId="0" fillId="0" borderId="5" xfId="0" applyBorder="1"/>
    <xf numFmtId="164" fontId="0" fillId="0" borderId="5" xfId="0" applyNumberFormat="1" applyBorder="1" applyAlignment="1">
      <alignment horizontal="center"/>
    </xf>
    <xf numFmtId="0" fontId="7" fillId="0" borderId="0" xfId="0" applyFont="1"/>
    <xf numFmtId="0" fontId="14" fillId="0" borderId="8" xfId="0" applyFont="1" applyBorder="1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4" borderId="0" xfId="0" applyFill="1"/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" fontId="0" fillId="3" borderId="48" xfId="0" applyNumberFormat="1" applyFill="1" applyBorder="1" applyAlignment="1">
      <alignment horizontal="center"/>
    </xf>
    <xf numFmtId="1" fontId="0" fillId="3" borderId="54" xfId="0" applyNumberFormat="1" applyFill="1" applyBorder="1" applyAlignment="1">
      <alignment horizontal="center"/>
    </xf>
    <xf numFmtId="1" fontId="0" fillId="3" borderId="25" xfId="0" applyNumberForma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5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0" fontId="0" fillId="0" borderId="5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" fontId="8" fillId="4" borderId="28" xfId="0" applyNumberFormat="1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0" fillId="0" borderId="4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49" xfId="0" applyFont="1" applyBorder="1" applyAlignment="1">
      <alignment horizontal="left"/>
    </xf>
    <xf numFmtId="0" fontId="10" fillId="0" borderId="51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křivka odběru</a:t>
            </a:r>
          </a:p>
        </c:rich>
      </c:tx>
      <c:layout>
        <c:manualLayout>
          <c:xMode val="edge"/>
          <c:yMode val="edge"/>
          <c:x val="0.41379390794541482"/>
          <c:y val="3.3846295528848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2130575256259"/>
          <c:y val="0.18769258968237654"/>
          <c:w val="0.83333489234407365"/>
          <c:h val="0.53846234744943966"/>
        </c:manualLayout>
      </c:layout>
      <c:areaChart>
        <c:grouping val="stacked"/>
        <c:varyColors val="0"/>
        <c:ser>
          <c:idx val="0"/>
          <c:order val="0"/>
          <c:tx>
            <c:v>ztráta cirkulací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NZ'!$AV$6:$AV$30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1.1833333333333333</c:v>
                </c:pt>
                <c:pt idx="2">
                  <c:v>2.3666666666666667</c:v>
                </c:pt>
                <c:pt idx="3">
                  <c:v>3.55</c:v>
                </c:pt>
                <c:pt idx="4">
                  <c:v>4.7333333333333334</c:v>
                </c:pt>
                <c:pt idx="5">
                  <c:v>5.916666666666667</c:v>
                </c:pt>
                <c:pt idx="6">
                  <c:v>7.1000000000000005</c:v>
                </c:pt>
                <c:pt idx="7">
                  <c:v>8.2833333333333332</c:v>
                </c:pt>
                <c:pt idx="8">
                  <c:v>9.4666666666666668</c:v>
                </c:pt>
                <c:pt idx="9">
                  <c:v>10.65</c:v>
                </c:pt>
                <c:pt idx="10">
                  <c:v>11.833333333333334</c:v>
                </c:pt>
                <c:pt idx="11">
                  <c:v>13.016666666666667</c:v>
                </c:pt>
                <c:pt idx="12">
                  <c:v>14.200000000000001</c:v>
                </c:pt>
                <c:pt idx="13">
                  <c:v>15.383333333333335</c:v>
                </c:pt>
                <c:pt idx="14">
                  <c:v>16.566666666666666</c:v>
                </c:pt>
                <c:pt idx="15">
                  <c:v>17.75</c:v>
                </c:pt>
                <c:pt idx="16">
                  <c:v>18.933333333333334</c:v>
                </c:pt>
                <c:pt idx="17">
                  <c:v>20.116666666666667</c:v>
                </c:pt>
                <c:pt idx="18">
                  <c:v>21.3</c:v>
                </c:pt>
                <c:pt idx="19">
                  <c:v>22.483333333333334</c:v>
                </c:pt>
                <c:pt idx="20">
                  <c:v>23.666666666666668</c:v>
                </c:pt>
                <c:pt idx="21">
                  <c:v>24.85</c:v>
                </c:pt>
                <c:pt idx="22">
                  <c:v>26.033333333333335</c:v>
                </c:pt>
                <c:pt idx="23">
                  <c:v>27.216666666666669</c:v>
                </c:pt>
                <c:pt idx="24">
                  <c:v>28.400000000000002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B-40AE-82D3-19840F86CE33}"/>
            </c:ext>
          </c:extLst>
        </c:ser>
        <c:ser>
          <c:idx val="1"/>
          <c:order val="1"/>
          <c:tx>
            <c:v>potřeba tepla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NZ'!$AW$6:$AW$30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0.48799999999999999</c:v>
                </c:pt>
                <c:pt idx="2">
                  <c:v>0.48799999999999999</c:v>
                </c:pt>
                <c:pt idx="3">
                  <c:v>0.48799999999999999</c:v>
                </c:pt>
                <c:pt idx="4">
                  <c:v>0.48799999999999999</c:v>
                </c:pt>
                <c:pt idx="5">
                  <c:v>0.48799999999999999</c:v>
                </c:pt>
                <c:pt idx="6">
                  <c:v>0.87599999999999989</c:v>
                </c:pt>
                <c:pt idx="7">
                  <c:v>3.3039999999999998</c:v>
                </c:pt>
                <c:pt idx="8">
                  <c:v>7.2359999999999989</c:v>
                </c:pt>
                <c:pt idx="9">
                  <c:v>11.451999999999998</c:v>
                </c:pt>
                <c:pt idx="10">
                  <c:v>15.147999999999998</c:v>
                </c:pt>
                <c:pt idx="11">
                  <c:v>19.351999999999997</c:v>
                </c:pt>
                <c:pt idx="12">
                  <c:v>24.08</c:v>
                </c:pt>
                <c:pt idx="13">
                  <c:v>27.771999999999998</c:v>
                </c:pt>
                <c:pt idx="14">
                  <c:v>29.567999999999998</c:v>
                </c:pt>
                <c:pt idx="15">
                  <c:v>31.163999999999998</c:v>
                </c:pt>
                <c:pt idx="16">
                  <c:v>33.367999999999995</c:v>
                </c:pt>
                <c:pt idx="17">
                  <c:v>38.095999999999997</c:v>
                </c:pt>
                <c:pt idx="18">
                  <c:v>45.055999999999997</c:v>
                </c:pt>
                <c:pt idx="19">
                  <c:v>49.387999999999998</c:v>
                </c:pt>
                <c:pt idx="20">
                  <c:v>52.884</c:v>
                </c:pt>
                <c:pt idx="21">
                  <c:v>54.747999999999998</c:v>
                </c:pt>
                <c:pt idx="22">
                  <c:v>55.823999999999998</c:v>
                </c:pt>
                <c:pt idx="23">
                  <c:v>56.311999999999998</c:v>
                </c:pt>
                <c:pt idx="24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B-40AE-82D3-19840F86CE33}"/>
            </c:ext>
          </c:extLst>
        </c:ser>
        <c:ser>
          <c:idx val="2"/>
          <c:order val="2"/>
          <c:tx>
            <c:v>akumulace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NZ'!$AX$6:$AX$30</c:f>
              <c:numCache>
                <c:formatCode>0</c:formatCode>
                <c:ptCount val="25"/>
                <c:pt idx="0">
                  <c:v>26.162500000000001</c:v>
                </c:pt>
                <c:pt idx="1">
                  <c:v>26.162500000000001</c:v>
                </c:pt>
                <c:pt idx="2">
                  <c:v>26.162500000000001</c:v>
                </c:pt>
                <c:pt idx="3">
                  <c:v>26.162500000000001</c:v>
                </c:pt>
                <c:pt idx="4">
                  <c:v>26.162500000000001</c:v>
                </c:pt>
                <c:pt idx="5">
                  <c:v>26.162500000000001</c:v>
                </c:pt>
                <c:pt idx="6">
                  <c:v>26.162500000000001</c:v>
                </c:pt>
                <c:pt idx="7">
                  <c:v>26.162500000000001</c:v>
                </c:pt>
                <c:pt idx="8">
                  <c:v>26.047166666666669</c:v>
                </c:pt>
                <c:pt idx="9">
                  <c:v>25.647833333333335</c:v>
                </c:pt>
                <c:pt idx="10">
                  <c:v>25.768500000000003</c:v>
                </c:pt>
                <c:pt idx="11">
                  <c:v>25.381166666666669</c:v>
                </c:pt>
                <c:pt idx="12">
                  <c:v>24.469833333333334</c:v>
                </c:pt>
                <c:pt idx="13">
                  <c:v>24.5945</c:v>
                </c:pt>
                <c:pt idx="14">
                  <c:v>26.162500000000001</c:v>
                </c:pt>
                <c:pt idx="15">
                  <c:v>26.162500000000001</c:v>
                </c:pt>
                <c:pt idx="16">
                  <c:v>26.162500000000001</c:v>
                </c:pt>
                <c:pt idx="17">
                  <c:v>25.25116666666667</c:v>
                </c:pt>
                <c:pt idx="18">
                  <c:v>22.107833333333339</c:v>
                </c:pt>
                <c:pt idx="19">
                  <c:v>21.592500000000008</c:v>
                </c:pt>
                <c:pt idx="20">
                  <c:v>21.913166666666676</c:v>
                </c:pt>
                <c:pt idx="21">
                  <c:v>23.865833333333342</c:v>
                </c:pt>
                <c:pt idx="22">
                  <c:v>26.162500000000001</c:v>
                </c:pt>
                <c:pt idx="23">
                  <c:v>26.162500000000001</c:v>
                </c:pt>
                <c:pt idx="24">
                  <c:v>26.162500000000001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B-40AE-82D3-19840F86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312"/>
        <c:axId val="80671488"/>
      </c:areaChart>
      <c:catAx>
        <c:axId val="806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čas [hod]</a:t>
                </a:r>
              </a:p>
            </c:rich>
          </c:tx>
          <c:layout>
            <c:manualLayout>
              <c:xMode val="edge"/>
              <c:yMode val="edge"/>
              <c:x val="0.48850675274786115"/>
              <c:y val="0.80923209160258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67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7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energie [kWh]</a:t>
                </a:r>
              </a:p>
            </c:rich>
          </c:tx>
          <c:layout>
            <c:manualLayout>
              <c:xMode val="edge"/>
              <c:yMode val="edge"/>
              <c:x val="3.0651340996168612E-2"/>
              <c:y val="0.32923147764424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669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609255739584352"/>
          <c:y val="0.91077067120995869"/>
          <c:w val="0.44827666656610454"/>
          <c:h val="6.76922840785253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hodinová potřeba</a:t>
            </a:r>
          </a:p>
        </c:rich>
      </c:tx>
      <c:layout>
        <c:manualLayout>
          <c:xMode val="edge"/>
          <c:yMode val="edge"/>
          <c:x val="0.39005776285612481"/>
          <c:y val="3.5294117647058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1081277897644"/>
          <c:y val="0.17941202236331341"/>
          <c:w val="0.86042145339897425"/>
          <c:h val="0.55882433195130388"/>
        </c:manualLayout>
      </c:layout>
      <c:barChart>
        <c:barDir val="col"/>
        <c:grouping val="stacked"/>
        <c:varyColors val="0"/>
        <c:ser>
          <c:idx val="0"/>
          <c:order val="0"/>
          <c:tx>
            <c:v>uživatelé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'Příprava TV+návrh NZ'!$AU$7:$AU$30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'Příprava TV+návrh NZ'!$G$10:$G$33</c:f>
              <c:numCache>
                <c:formatCode>0</c:formatCode>
                <c:ptCount val="24"/>
                <c:pt idx="0">
                  <c:v>0.38799999999999996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0.38799999999999996</c:v>
                </c:pt>
                <c:pt idx="6">
                  <c:v>2.3279999999999998</c:v>
                </c:pt>
                <c:pt idx="7">
                  <c:v>3.4919999999999995</c:v>
                </c:pt>
                <c:pt idx="8">
                  <c:v>2.7160000000000002</c:v>
                </c:pt>
                <c:pt idx="9">
                  <c:v>2.7160000000000002</c:v>
                </c:pt>
                <c:pt idx="10">
                  <c:v>3.1039999999999996</c:v>
                </c:pt>
                <c:pt idx="11">
                  <c:v>2.3279999999999998</c:v>
                </c:pt>
                <c:pt idx="12">
                  <c:v>1.5519999999999998</c:v>
                </c:pt>
                <c:pt idx="13">
                  <c:v>0.77599999999999991</c:v>
                </c:pt>
                <c:pt idx="14">
                  <c:v>0.77599999999999991</c:v>
                </c:pt>
                <c:pt idx="15">
                  <c:v>1.1639999999999999</c:v>
                </c:pt>
                <c:pt idx="16">
                  <c:v>2.3279999999999998</c:v>
                </c:pt>
                <c:pt idx="17">
                  <c:v>5.8199999999999994</c:v>
                </c:pt>
                <c:pt idx="18">
                  <c:v>3.4919999999999995</c:v>
                </c:pt>
                <c:pt idx="19">
                  <c:v>2.7160000000000002</c:v>
                </c:pt>
                <c:pt idx="20">
                  <c:v>1.1639999999999999</c:v>
                </c:pt>
                <c:pt idx="21">
                  <c:v>0.77599999999999991</c:v>
                </c:pt>
                <c:pt idx="22">
                  <c:v>0.38799999999999996</c:v>
                </c:pt>
                <c:pt idx="23">
                  <c:v>0.38799999999999996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E-4D3B-B17F-76256A05B889}"/>
            </c:ext>
          </c:extLst>
        </c:ser>
        <c:ser>
          <c:idx val="1"/>
          <c:order val="1"/>
          <c:tx>
            <c:v>personál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NZ'!$I$10:$I$33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0.24</c:v>
                </c:pt>
                <c:pt idx="8">
                  <c:v>1.2</c:v>
                </c:pt>
                <c:pt idx="9">
                  <c:v>0.48</c:v>
                </c:pt>
                <c:pt idx="10">
                  <c:v>0.4</c:v>
                </c:pt>
                <c:pt idx="11">
                  <c:v>0.8</c:v>
                </c:pt>
                <c:pt idx="12">
                  <c:v>0.64</c:v>
                </c:pt>
                <c:pt idx="13">
                  <c:v>0.32</c:v>
                </c:pt>
                <c:pt idx="14">
                  <c:v>0.32</c:v>
                </c:pt>
                <c:pt idx="15">
                  <c:v>0.64</c:v>
                </c:pt>
                <c:pt idx="16">
                  <c:v>2</c:v>
                </c:pt>
                <c:pt idx="17">
                  <c:v>0.64</c:v>
                </c:pt>
                <c:pt idx="18">
                  <c:v>0.24</c:v>
                </c:pt>
                <c:pt idx="19">
                  <c:v>0.08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E-4D3B-B17F-76256A05B889}"/>
            </c:ext>
          </c:extLst>
        </c:ser>
        <c:ser>
          <c:idx val="2"/>
          <c:order val="2"/>
          <c:tx>
            <c:v>gastro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NZ'!$K$10:$K$33</c:f>
              <c:numCache>
                <c:formatCode>0</c:formatCode>
                <c:ptCount val="2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0.5</c:v>
                </c:pt>
                <c:pt idx="10">
                  <c:v>0.70000000000000007</c:v>
                </c:pt>
                <c:pt idx="11">
                  <c:v>1.6</c:v>
                </c:pt>
                <c:pt idx="12">
                  <c:v>1.5</c:v>
                </c:pt>
                <c:pt idx="13">
                  <c:v>0.70000000000000007</c:v>
                </c:pt>
                <c:pt idx="14">
                  <c:v>0.5</c:v>
                </c:pt>
                <c:pt idx="15">
                  <c:v>0.4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  <c:pt idx="19">
                  <c:v>0.70000000000000007</c:v>
                </c:pt>
                <c:pt idx="20">
                  <c:v>0.70000000000000007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E-4D3B-B17F-76256A05B889}"/>
            </c:ext>
          </c:extLst>
        </c:ser>
        <c:ser>
          <c:idx val="3"/>
          <c:order val="3"/>
          <c:tx>
            <c:v>úklid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NZ'!$M$10:$M$33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E-4D3B-B17F-76256A05B889}"/>
            </c:ext>
          </c:extLst>
        </c:ser>
        <c:ser>
          <c:idx val="4"/>
          <c:order val="4"/>
          <c:tx>
            <c:strRef>
              <c:f>'Příprava TV+návrh NZ'!$N$8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NZ'!$O$10:$O$33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DE-4D3B-B17F-76256A05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727040"/>
        <c:axId val="80729216"/>
      </c:barChart>
      <c:catAx>
        <c:axId val="8072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čas [hod]</a:t>
                </a:r>
              </a:p>
            </c:rich>
          </c:tx>
          <c:layout>
            <c:manualLayout>
              <c:xMode val="edge"/>
              <c:yMode val="edge"/>
              <c:x val="0.49139619497849613"/>
              <c:y val="0.81764829396325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72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72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příkon [kW]</a:t>
                </a:r>
              </a:p>
            </c:rich>
          </c:tx>
          <c:layout>
            <c:manualLayout>
              <c:xMode val="edge"/>
              <c:yMode val="edge"/>
              <c:x val="3.0592734225621414E-2"/>
              <c:y val="0.358824146981627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727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01549710683906"/>
          <c:y val="0.91470711749266631"/>
          <c:w val="0.47609982786568533"/>
          <c:h val="6.4705882352941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křivka odběru</a:t>
            </a:r>
          </a:p>
        </c:rich>
      </c:tx>
      <c:layout>
        <c:manualLayout>
          <c:xMode val="edge"/>
          <c:yMode val="edge"/>
          <c:x val="0.43147279178935216"/>
          <c:y val="3.48101265822784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8326126146983"/>
          <c:y val="0.18670914926131918"/>
          <c:w val="0.70727697241991261"/>
          <c:h val="0.61392499926603183"/>
        </c:manualLayout>
      </c:layout>
      <c:areaChart>
        <c:grouping val="stacked"/>
        <c:varyColors val="0"/>
        <c:ser>
          <c:idx val="0"/>
          <c:order val="0"/>
          <c:tx>
            <c:v>ztráty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NZ'!$AV$6:$AV$30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1.1833333333333333</c:v>
                </c:pt>
                <c:pt idx="2">
                  <c:v>2.3666666666666667</c:v>
                </c:pt>
                <c:pt idx="3">
                  <c:v>3.55</c:v>
                </c:pt>
                <c:pt idx="4">
                  <c:v>4.7333333333333334</c:v>
                </c:pt>
                <c:pt idx="5">
                  <c:v>5.916666666666667</c:v>
                </c:pt>
                <c:pt idx="6">
                  <c:v>7.1000000000000005</c:v>
                </c:pt>
                <c:pt idx="7">
                  <c:v>8.2833333333333332</c:v>
                </c:pt>
                <c:pt idx="8">
                  <c:v>9.4666666666666668</c:v>
                </c:pt>
                <c:pt idx="9">
                  <c:v>10.65</c:v>
                </c:pt>
                <c:pt idx="10">
                  <c:v>11.833333333333334</c:v>
                </c:pt>
                <c:pt idx="11">
                  <c:v>13.016666666666667</c:v>
                </c:pt>
                <c:pt idx="12">
                  <c:v>14.200000000000001</c:v>
                </c:pt>
                <c:pt idx="13">
                  <c:v>15.383333333333335</c:v>
                </c:pt>
                <c:pt idx="14">
                  <c:v>16.566666666666666</c:v>
                </c:pt>
                <c:pt idx="15">
                  <c:v>17.75</c:v>
                </c:pt>
                <c:pt idx="16">
                  <c:v>18.933333333333334</c:v>
                </c:pt>
                <c:pt idx="17">
                  <c:v>20.116666666666667</c:v>
                </c:pt>
                <c:pt idx="18">
                  <c:v>21.3</c:v>
                </c:pt>
                <c:pt idx="19">
                  <c:v>22.483333333333334</c:v>
                </c:pt>
                <c:pt idx="20">
                  <c:v>23.666666666666668</c:v>
                </c:pt>
                <c:pt idx="21">
                  <c:v>24.85</c:v>
                </c:pt>
                <c:pt idx="22">
                  <c:v>26.033333333333335</c:v>
                </c:pt>
                <c:pt idx="23">
                  <c:v>27.216666666666669</c:v>
                </c:pt>
                <c:pt idx="24">
                  <c:v>28.400000000000002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C-4649-AD29-917FFC5172F4}"/>
            </c:ext>
          </c:extLst>
        </c:ser>
        <c:ser>
          <c:idx val="1"/>
          <c:order val="1"/>
          <c:tx>
            <c:v>potřeba tepla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NZ'!$AW$6:$AW$30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0.48799999999999999</c:v>
                </c:pt>
                <c:pt idx="2">
                  <c:v>0.48799999999999999</c:v>
                </c:pt>
                <c:pt idx="3">
                  <c:v>0.48799999999999999</c:v>
                </c:pt>
                <c:pt idx="4">
                  <c:v>0.48799999999999999</c:v>
                </c:pt>
                <c:pt idx="5">
                  <c:v>0.48799999999999999</c:v>
                </c:pt>
                <c:pt idx="6">
                  <c:v>0.87599999999999989</c:v>
                </c:pt>
                <c:pt idx="7">
                  <c:v>3.3039999999999998</c:v>
                </c:pt>
                <c:pt idx="8">
                  <c:v>7.2359999999999989</c:v>
                </c:pt>
                <c:pt idx="9">
                  <c:v>11.451999999999998</c:v>
                </c:pt>
                <c:pt idx="10">
                  <c:v>15.147999999999998</c:v>
                </c:pt>
                <c:pt idx="11">
                  <c:v>19.351999999999997</c:v>
                </c:pt>
                <c:pt idx="12">
                  <c:v>24.08</c:v>
                </c:pt>
                <c:pt idx="13">
                  <c:v>27.771999999999998</c:v>
                </c:pt>
                <c:pt idx="14">
                  <c:v>29.567999999999998</c:v>
                </c:pt>
                <c:pt idx="15">
                  <c:v>31.163999999999998</c:v>
                </c:pt>
                <c:pt idx="16">
                  <c:v>33.367999999999995</c:v>
                </c:pt>
                <c:pt idx="17">
                  <c:v>38.095999999999997</c:v>
                </c:pt>
                <c:pt idx="18">
                  <c:v>45.055999999999997</c:v>
                </c:pt>
                <c:pt idx="19">
                  <c:v>49.387999999999998</c:v>
                </c:pt>
                <c:pt idx="20">
                  <c:v>52.884</c:v>
                </c:pt>
                <c:pt idx="21">
                  <c:v>54.747999999999998</c:v>
                </c:pt>
                <c:pt idx="22">
                  <c:v>55.823999999999998</c:v>
                </c:pt>
                <c:pt idx="23">
                  <c:v>56.311999999999998</c:v>
                </c:pt>
                <c:pt idx="24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C-4649-AD29-917FFC5172F4}"/>
            </c:ext>
          </c:extLst>
        </c:ser>
        <c:ser>
          <c:idx val="2"/>
          <c:order val="2"/>
          <c:tx>
            <c:v>akumulace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NZ'!$AX$6:$AX$30</c:f>
              <c:numCache>
                <c:formatCode>0</c:formatCode>
                <c:ptCount val="25"/>
                <c:pt idx="0">
                  <c:v>26.162500000000001</c:v>
                </c:pt>
                <c:pt idx="1">
                  <c:v>26.162500000000001</c:v>
                </c:pt>
                <c:pt idx="2">
                  <c:v>26.162500000000001</c:v>
                </c:pt>
                <c:pt idx="3">
                  <c:v>26.162500000000001</c:v>
                </c:pt>
                <c:pt idx="4">
                  <c:v>26.162500000000001</c:v>
                </c:pt>
                <c:pt idx="5">
                  <c:v>26.162500000000001</c:v>
                </c:pt>
                <c:pt idx="6">
                  <c:v>26.162500000000001</c:v>
                </c:pt>
                <c:pt idx="7">
                  <c:v>26.162500000000001</c:v>
                </c:pt>
                <c:pt idx="8">
                  <c:v>26.047166666666669</c:v>
                </c:pt>
                <c:pt idx="9">
                  <c:v>25.647833333333335</c:v>
                </c:pt>
                <c:pt idx="10">
                  <c:v>25.768500000000003</c:v>
                </c:pt>
                <c:pt idx="11">
                  <c:v>25.381166666666669</c:v>
                </c:pt>
                <c:pt idx="12">
                  <c:v>24.469833333333334</c:v>
                </c:pt>
                <c:pt idx="13">
                  <c:v>24.5945</c:v>
                </c:pt>
                <c:pt idx="14">
                  <c:v>26.162500000000001</c:v>
                </c:pt>
                <c:pt idx="15">
                  <c:v>26.162500000000001</c:v>
                </c:pt>
                <c:pt idx="16">
                  <c:v>26.162500000000001</c:v>
                </c:pt>
                <c:pt idx="17">
                  <c:v>25.25116666666667</c:v>
                </c:pt>
                <c:pt idx="18">
                  <c:v>22.107833333333339</c:v>
                </c:pt>
                <c:pt idx="19">
                  <c:v>21.592500000000008</c:v>
                </c:pt>
                <c:pt idx="20">
                  <c:v>21.913166666666676</c:v>
                </c:pt>
                <c:pt idx="21">
                  <c:v>23.865833333333342</c:v>
                </c:pt>
                <c:pt idx="22">
                  <c:v>26.162500000000001</c:v>
                </c:pt>
                <c:pt idx="23">
                  <c:v>26.162500000000001</c:v>
                </c:pt>
                <c:pt idx="24">
                  <c:v>26.162500000000001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CC-4649-AD29-917FFC51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40896"/>
        <c:axId val="81042816"/>
      </c:areaChart>
      <c:catAx>
        <c:axId val="810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čas [hod]</a:t>
                </a:r>
              </a:p>
            </c:rich>
          </c:tx>
          <c:layout>
            <c:manualLayout>
              <c:xMode val="edge"/>
              <c:yMode val="edge"/>
              <c:x val="0.41793641277073867"/>
              <c:y val="0.88607727831489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04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4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energie [kWh]</a:t>
                </a:r>
              </a:p>
            </c:rich>
          </c:tx>
          <c:layout>
            <c:manualLayout>
              <c:xMode val="edge"/>
              <c:yMode val="edge"/>
              <c:x val="2.7072758037225066E-2"/>
              <c:y val="0.363924715106814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040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40920456009084"/>
          <c:y val="0.40189939865111779"/>
          <c:w val="0.13705601520622104"/>
          <c:h val="0.18354463603441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hodinová potřeba</a:t>
            </a:r>
          </a:p>
        </c:rich>
      </c:tx>
      <c:layout>
        <c:manualLayout>
          <c:xMode val="edge"/>
          <c:yMode val="edge"/>
          <c:x val="0.41197220065801632"/>
          <c:y val="3.7288135593220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2"/>
          <c:y val="0.19322065880008407"/>
          <c:w val="0.75528233941937462"/>
          <c:h val="0.59322132087745016"/>
        </c:manualLayout>
      </c:layout>
      <c:barChart>
        <c:barDir val="col"/>
        <c:grouping val="stacked"/>
        <c:varyColors val="0"/>
        <c:ser>
          <c:idx val="0"/>
          <c:order val="0"/>
          <c:tx>
            <c:v>uživatelé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'Příprava TV+návrh NZ'!$AU$7:$AU$30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'Příprava TV+návrh NZ'!$G$10:$G$33</c:f>
              <c:numCache>
                <c:formatCode>0</c:formatCode>
                <c:ptCount val="24"/>
                <c:pt idx="0">
                  <c:v>0.38799999999999996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0.38799999999999996</c:v>
                </c:pt>
                <c:pt idx="6">
                  <c:v>2.3279999999999998</c:v>
                </c:pt>
                <c:pt idx="7">
                  <c:v>3.4919999999999995</c:v>
                </c:pt>
                <c:pt idx="8">
                  <c:v>2.7160000000000002</c:v>
                </c:pt>
                <c:pt idx="9">
                  <c:v>2.7160000000000002</c:v>
                </c:pt>
                <c:pt idx="10">
                  <c:v>3.1039999999999996</c:v>
                </c:pt>
                <c:pt idx="11">
                  <c:v>2.3279999999999998</c:v>
                </c:pt>
                <c:pt idx="12">
                  <c:v>1.5519999999999998</c:v>
                </c:pt>
                <c:pt idx="13">
                  <c:v>0.77599999999999991</c:v>
                </c:pt>
                <c:pt idx="14">
                  <c:v>0.77599999999999991</c:v>
                </c:pt>
                <c:pt idx="15">
                  <c:v>1.1639999999999999</c:v>
                </c:pt>
                <c:pt idx="16">
                  <c:v>2.3279999999999998</c:v>
                </c:pt>
                <c:pt idx="17">
                  <c:v>5.8199999999999994</c:v>
                </c:pt>
                <c:pt idx="18">
                  <c:v>3.4919999999999995</c:v>
                </c:pt>
                <c:pt idx="19">
                  <c:v>2.7160000000000002</c:v>
                </c:pt>
                <c:pt idx="20">
                  <c:v>1.1639999999999999</c:v>
                </c:pt>
                <c:pt idx="21">
                  <c:v>0.77599999999999991</c:v>
                </c:pt>
                <c:pt idx="22">
                  <c:v>0.38799999999999996</c:v>
                </c:pt>
                <c:pt idx="23">
                  <c:v>0.38799999999999996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8F8-BF45-912A72212BBF}"/>
            </c:ext>
          </c:extLst>
        </c:ser>
        <c:ser>
          <c:idx val="1"/>
          <c:order val="1"/>
          <c:tx>
            <c:v>personál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NZ'!$I$10:$I$33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0.24</c:v>
                </c:pt>
                <c:pt idx="8">
                  <c:v>1.2</c:v>
                </c:pt>
                <c:pt idx="9">
                  <c:v>0.48</c:v>
                </c:pt>
                <c:pt idx="10">
                  <c:v>0.4</c:v>
                </c:pt>
                <c:pt idx="11">
                  <c:v>0.8</c:v>
                </c:pt>
                <c:pt idx="12">
                  <c:v>0.64</c:v>
                </c:pt>
                <c:pt idx="13">
                  <c:v>0.32</c:v>
                </c:pt>
                <c:pt idx="14">
                  <c:v>0.32</c:v>
                </c:pt>
                <c:pt idx="15">
                  <c:v>0.64</c:v>
                </c:pt>
                <c:pt idx="16">
                  <c:v>2</c:v>
                </c:pt>
                <c:pt idx="17">
                  <c:v>0.64</c:v>
                </c:pt>
                <c:pt idx="18">
                  <c:v>0.24</c:v>
                </c:pt>
                <c:pt idx="19">
                  <c:v>0.08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8F8-BF45-912A72212BBF}"/>
            </c:ext>
          </c:extLst>
        </c:ser>
        <c:ser>
          <c:idx val="2"/>
          <c:order val="2"/>
          <c:tx>
            <c:v>gastro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NZ'!$K$10:$K$33</c:f>
              <c:numCache>
                <c:formatCode>0</c:formatCode>
                <c:ptCount val="2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0.5</c:v>
                </c:pt>
                <c:pt idx="10">
                  <c:v>0.70000000000000007</c:v>
                </c:pt>
                <c:pt idx="11">
                  <c:v>1.6</c:v>
                </c:pt>
                <c:pt idx="12">
                  <c:v>1.5</c:v>
                </c:pt>
                <c:pt idx="13">
                  <c:v>0.70000000000000007</c:v>
                </c:pt>
                <c:pt idx="14">
                  <c:v>0.5</c:v>
                </c:pt>
                <c:pt idx="15">
                  <c:v>0.4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  <c:pt idx="19">
                  <c:v>0.70000000000000007</c:v>
                </c:pt>
                <c:pt idx="20">
                  <c:v>0.70000000000000007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8F8-BF45-912A72212BBF}"/>
            </c:ext>
          </c:extLst>
        </c:ser>
        <c:ser>
          <c:idx val="3"/>
          <c:order val="3"/>
          <c:tx>
            <c:v>úklid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NZ'!$M$10:$M$33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A0-48F8-BF45-912A72212BBF}"/>
            </c:ext>
          </c:extLst>
        </c:ser>
        <c:ser>
          <c:idx val="4"/>
          <c:order val="4"/>
          <c:tx>
            <c:strRef>
              <c:f>'Příprava TV+návrh NZ'!$N$8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NZ'!$O$10:$O$33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A0-48F8-BF45-912A7221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06048"/>
        <c:axId val="81107968"/>
      </c:barChart>
      <c:catAx>
        <c:axId val="8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čas [hod]</a:t>
                </a:r>
              </a:p>
            </c:rich>
          </c:tx>
          <c:layout>
            <c:manualLayout>
              <c:xMode val="edge"/>
              <c:yMode val="edge"/>
              <c:x val="0.43309896122139707"/>
              <c:y val="0.877967525245784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1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0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příkon [kW]</a:t>
                </a:r>
              </a:p>
            </c:rich>
          </c:tx>
          <c:layout>
            <c:manualLayout>
              <c:xMode val="edge"/>
              <c:yMode val="edge"/>
              <c:x val="2.8169014084507043E-2"/>
              <c:y val="0.37288206770763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106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52186610476579"/>
          <c:y val="0.32881427109746986"/>
          <c:w val="0.10739436619718311"/>
          <c:h val="0.32542444058899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křivka odběru</a:t>
            </a:r>
          </a:p>
        </c:rich>
      </c:tx>
      <c:layout>
        <c:manualLayout>
          <c:xMode val="edge"/>
          <c:yMode val="edge"/>
          <c:x val="0.41491435941444277"/>
          <c:y val="3.3742331288343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28309882429607"/>
          <c:y val="0.18711656441717794"/>
          <c:w val="0.83365278595989367"/>
          <c:h val="0.53987730061349781"/>
        </c:manualLayout>
      </c:layout>
      <c:areaChart>
        <c:grouping val="stacked"/>
        <c:varyColors val="0"/>
        <c:ser>
          <c:idx val="0"/>
          <c:order val="0"/>
          <c:tx>
            <c:v>ztráta cirkulací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NZ'!$AV$6:$AV$30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1.1833333333333333</c:v>
                </c:pt>
                <c:pt idx="2">
                  <c:v>2.3666666666666667</c:v>
                </c:pt>
                <c:pt idx="3">
                  <c:v>3.55</c:v>
                </c:pt>
                <c:pt idx="4">
                  <c:v>4.7333333333333334</c:v>
                </c:pt>
                <c:pt idx="5">
                  <c:v>5.916666666666667</c:v>
                </c:pt>
                <c:pt idx="6">
                  <c:v>7.1000000000000005</c:v>
                </c:pt>
                <c:pt idx="7">
                  <c:v>8.2833333333333332</c:v>
                </c:pt>
                <c:pt idx="8">
                  <c:v>9.4666666666666668</c:v>
                </c:pt>
                <c:pt idx="9">
                  <c:v>10.65</c:v>
                </c:pt>
                <c:pt idx="10">
                  <c:v>11.833333333333334</c:v>
                </c:pt>
                <c:pt idx="11">
                  <c:v>13.016666666666667</c:v>
                </c:pt>
                <c:pt idx="12">
                  <c:v>14.200000000000001</c:v>
                </c:pt>
                <c:pt idx="13">
                  <c:v>15.383333333333335</c:v>
                </c:pt>
                <c:pt idx="14">
                  <c:v>16.566666666666666</c:v>
                </c:pt>
                <c:pt idx="15">
                  <c:v>17.75</c:v>
                </c:pt>
                <c:pt idx="16">
                  <c:v>18.933333333333334</c:v>
                </c:pt>
                <c:pt idx="17">
                  <c:v>20.116666666666667</c:v>
                </c:pt>
                <c:pt idx="18">
                  <c:v>21.3</c:v>
                </c:pt>
                <c:pt idx="19">
                  <c:v>22.483333333333334</c:v>
                </c:pt>
                <c:pt idx="20">
                  <c:v>23.666666666666668</c:v>
                </c:pt>
                <c:pt idx="21">
                  <c:v>24.85</c:v>
                </c:pt>
                <c:pt idx="22">
                  <c:v>26.033333333333335</c:v>
                </c:pt>
                <c:pt idx="23">
                  <c:v>27.216666666666669</c:v>
                </c:pt>
                <c:pt idx="24">
                  <c:v>28.400000000000002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C-409D-8565-7A1E35BCD96D}"/>
            </c:ext>
          </c:extLst>
        </c:ser>
        <c:ser>
          <c:idx val="1"/>
          <c:order val="1"/>
          <c:tx>
            <c:v>potřeba tepla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NZ'!$AW$6:$AW$30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0.48799999999999999</c:v>
                </c:pt>
                <c:pt idx="2">
                  <c:v>0.48799999999999999</c:v>
                </c:pt>
                <c:pt idx="3">
                  <c:v>0.48799999999999999</c:v>
                </c:pt>
                <c:pt idx="4">
                  <c:v>0.48799999999999999</c:v>
                </c:pt>
                <c:pt idx="5">
                  <c:v>0.48799999999999999</c:v>
                </c:pt>
                <c:pt idx="6">
                  <c:v>0.87599999999999989</c:v>
                </c:pt>
                <c:pt idx="7">
                  <c:v>3.3039999999999998</c:v>
                </c:pt>
                <c:pt idx="8">
                  <c:v>7.2359999999999989</c:v>
                </c:pt>
                <c:pt idx="9">
                  <c:v>11.451999999999998</c:v>
                </c:pt>
                <c:pt idx="10">
                  <c:v>15.147999999999998</c:v>
                </c:pt>
                <c:pt idx="11">
                  <c:v>19.351999999999997</c:v>
                </c:pt>
                <c:pt idx="12">
                  <c:v>24.08</c:v>
                </c:pt>
                <c:pt idx="13">
                  <c:v>27.771999999999998</c:v>
                </c:pt>
                <c:pt idx="14">
                  <c:v>29.567999999999998</c:v>
                </c:pt>
                <c:pt idx="15">
                  <c:v>31.163999999999998</c:v>
                </c:pt>
                <c:pt idx="16">
                  <c:v>33.367999999999995</c:v>
                </c:pt>
                <c:pt idx="17">
                  <c:v>38.095999999999997</c:v>
                </c:pt>
                <c:pt idx="18">
                  <c:v>45.055999999999997</c:v>
                </c:pt>
                <c:pt idx="19">
                  <c:v>49.387999999999998</c:v>
                </c:pt>
                <c:pt idx="20">
                  <c:v>52.884</c:v>
                </c:pt>
                <c:pt idx="21">
                  <c:v>54.747999999999998</c:v>
                </c:pt>
                <c:pt idx="22">
                  <c:v>55.823999999999998</c:v>
                </c:pt>
                <c:pt idx="23">
                  <c:v>56.311999999999998</c:v>
                </c:pt>
                <c:pt idx="24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C-409D-8565-7A1E35BCD96D}"/>
            </c:ext>
          </c:extLst>
        </c:ser>
        <c:ser>
          <c:idx val="2"/>
          <c:order val="2"/>
          <c:tx>
            <c:v>akumulace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'Příprava TV+návrh NZ'!$AU$6:$AU$30</c:f>
              <c:numCache>
                <c:formatCode>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'Příprava TV+návrh NZ'!$AX$6:$AX$30</c:f>
              <c:numCache>
                <c:formatCode>0</c:formatCode>
                <c:ptCount val="25"/>
                <c:pt idx="0">
                  <c:v>26.162500000000001</c:v>
                </c:pt>
                <c:pt idx="1">
                  <c:v>26.162500000000001</c:v>
                </c:pt>
                <c:pt idx="2">
                  <c:v>26.162500000000001</c:v>
                </c:pt>
                <c:pt idx="3">
                  <c:v>26.162500000000001</c:v>
                </c:pt>
                <c:pt idx="4">
                  <c:v>26.162500000000001</c:v>
                </c:pt>
                <c:pt idx="5">
                  <c:v>26.162500000000001</c:v>
                </c:pt>
                <c:pt idx="6">
                  <c:v>26.162500000000001</c:v>
                </c:pt>
                <c:pt idx="7">
                  <c:v>26.162500000000001</c:v>
                </c:pt>
                <c:pt idx="8">
                  <c:v>26.047166666666669</c:v>
                </c:pt>
                <c:pt idx="9">
                  <c:v>25.647833333333335</c:v>
                </c:pt>
                <c:pt idx="10">
                  <c:v>25.768500000000003</c:v>
                </c:pt>
                <c:pt idx="11">
                  <c:v>25.381166666666669</c:v>
                </c:pt>
                <c:pt idx="12">
                  <c:v>24.469833333333334</c:v>
                </c:pt>
                <c:pt idx="13">
                  <c:v>24.5945</c:v>
                </c:pt>
                <c:pt idx="14">
                  <c:v>26.162500000000001</c:v>
                </c:pt>
                <c:pt idx="15">
                  <c:v>26.162500000000001</c:v>
                </c:pt>
                <c:pt idx="16">
                  <c:v>26.162500000000001</c:v>
                </c:pt>
                <c:pt idx="17">
                  <c:v>25.25116666666667</c:v>
                </c:pt>
                <c:pt idx="18">
                  <c:v>22.107833333333339</c:v>
                </c:pt>
                <c:pt idx="19">
                  <c:v>21.592500000000008</c:v>
                </c:pt>
                <c:pt idx="20">
                  <c:v>21.913166666666676</c:v>
                </c:pt>
                <c:pt idx="21">
                  <c:v>23.865833333333342</c:v>
                </c:pt>
                <c:pt idx="22">
                  <c:v>26.162500000000001</c:v>
                </c:pt>
                <c:pt idx="23">
                  <c:v>26.162500000000001</c:v>
                </c:pt>
                <c:pt idx="24">
                  <c:v>26.162500000000001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C-409D-8565-7A1E35BCD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70112"/>
        <c:axId val="81384576"/>
      </c:areaChart>
      <c:catAx>
        <c:axId val="8137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čas [hod]</a:t>
                </a:r>
              </a:p>
            </c:rich>
          </c:tx>
          <c:layout>
            <c:manualLayout>
              <c:xMode val="edge"/>
              <c:yMode val="edge"/>
              <c:x val="0.48948414908939492"/>
              <c:y val="0.809815950920245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3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84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energie [kWh]</a:t>
                </a:r>
              </a:p>
            </c:rich>
          </c:tx>
          <c:layout>
            <c:manualLayout>
              <c:xMode val="edge"/>
              <c:yMode val="edge"/>
              <c:x val="3.0592734225621414E-2"/>
              <c:y val="0.33128834355828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370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739981833054853"/>
          <c:y val="0.91104294478527559"/>
          <c:w val="0.44741913952916496"/>
          <c:h val="6.74846625766871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hodinová potřeba</a:t>
            </a:r>
          </a:p>
        </c:rich>
      </c:tx>
      <c:layout>
        <c:manualLayout>
          <c:xMode val="edge"/>
          <c:yMode val="edge"/>
          <c:x val="0.3893129770992376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9541984732814"/>
          <c:y val="0.17888563049853373"/>
          <c:w val="0.8606870229007636"/>
          <c:h val="0.56011730205278587"/>
        </c:manualLayout>
      </c:layout>
      <c:barChart>
        <c:barDir val="col"/>
        <c:grouping val="stacked"/>
        <c:varyColors val="0"/>
        <c:ser>
          <c:idx val="0"/>
          <c:order val="0"/>
          <c:tx>
            <c:v>uživatelé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'Příprava TV+návrh NZ'!$AU$7:$AU$30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'Příprava TV+návrh NZ'!$G$10:$G$33</c:f>
              <c:numCache>
                <c:formatCode>0</c:formatCode>
                <c:ptCount val="24"/>
                <c:pt idx="0">
                  <c:v>0.38799999999999996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0.38799999999999996</c:v>
                </c:pt>
                <c:pt idx="6">
                  <c:v>2.3279999999999998</c:v>
                </c:pt>
                <c:pt idx="7">
                  <c:v>3.4919999999999995</c:v>
                </c:pt>
                <c:pt idx="8">
                  <c:v>2.7160000000000002</c:v>
                </c:pt>
                <c:pt idx="9">
                  <c:v>2.7160000000000002</c:v>
                </c:pt>
                <c:pt idx="10">
                  <c:v>3.1039999999999996</c:v>
                </c:pt>
                <c:pt idx="11">
                  <c:v>2.3279999999999998</c:v>
                </c:pt>
                <c:pt idx="12">
                  <c:v>1.5519999999999998</c:v>
                </c:pt>
                <c:pt idx="13">
                  <c:v>0.77599999999999991</c:v>
                </c:pt>
                <c:pt idx="14">
                  <c:v>0.77599999999999991</c:v>
                </c:pt>
                <c:pt idx="15">
                  <c:v>1.1639999999999999</c:v>
                </c:pt>
                <c:pt idx="16">
                  <c:v>2.3279999999999998</c:v>
                </c:pt>
                <c:pt idx="17">
                  <c:v>5.8199999999999994</c:v>
                </c:pt>
                <c:pt idx="18">
                  <c:v>3.4919999999999995</c:v>
                </c:pt>
                <c:pt idx="19">
                  <c:v>2.7160000000000002</c:v>
                </c:pt>
                <c:pt idx="20">
                  <c:v>1.1639999999999999</c:v>
                </c:pt>
                <c:pt idx="21">
                  <c:v>0.77599999999999991</c:v>
                </c:pt>
                <c:pt idx="22">
                  <c:v>0.38799999999999996</c:v>
                </c:pt>
                <c:pt idx="23">
                  <c:v>0.38799999999999996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380-8D58-0DFE7CC3745F}"/>
            </c:ext>
          </c:extLst>
        </c:ser>
        <c:ser>
          <c:idx val="1"/>
          <c:order val="1"/>
          <c:tx>
            <c:v>personál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NZ'!$I$10:$I$33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0.24</c:v>
                </c:pt>
                <c:pt idx="8">
                  <c:v>1.2</c:v>
                </c:pt>
                <c:pt idx="9">
                  <c:v>0.48</c:v>
                </c:pt>
                <c:pt idx="10">
                  <c:v>0.4</c:v>
                </c:pt>
                <c:pt idx="11">
                  <c:v>0.8</c:v>
                </c:pt>
                <c:pt idx="12">
                  <c:v>0.64</c:v>
                </c:pt>
                <c:pt idx="13">
                  <c:v>0.32</c:v>
                </c:pt>
                <c:pt idx="14">
                  <c:v>0.32</c:v>
                </c:pt>
                <c:pt idx="15">
                  <c:v>0.64</c:v>
                </c:pt>
                <c:pt idx="16">
                  <c:v>2</c:v>
                </c:pt>
                <c:pt idx="17">
                  <c:v>0.64</c:v>
                </c:pt>
                <c:pt idx="18">
                  <c:v>0.24</c:v>
                </c:pt>
                <c:pt idx="19">
                  <c:v>0.08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B-4380-8D58-0DFE7CC3745F}"/>
            </c:ext>
          </c:extLst>
        </c:ser>
        <c:ser>
          <c:idx val="2"/>
          <c:order val="2"/>
          <c:tx>
            <c:v>gastro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NZ'!$K$10:$K$33</c:f>
              <c:numCache>
                <c:formatCode>0</c:formatCode>
                <c:ptCount val="2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0.5</c:v>
                </c:pt>
                <c:pt idx="10">
                  <c:v>0.70000000000000007</c:v>
                </c:pt>
                <c:pt idx="11">
                  <c:v>1.6</c:v>
                </c:pt>
                <c:pt idx="12">
                  <c:v>1.5</c:v>
                </c:pt>
                <c:pt idx="13">
                  <c:v>0.70000000000000007</c:v>
                </c:pt>
                <c:pt idx="14">
                  <c:v>0.5</c:v>
                </c:pt>
                <c:pt idx="15">
                  <c:v>0.4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  <c:pt idx="19">
                  <c:v>0.70000000000000007</c:v>
                </c:pt>
                <c:pt idx="20">
                  <c:v>0.70000000000000007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B-4380-8D58-0DFE7CC3745F}"/>
            </c:ext>
          </c:extLst>
        </c:ser>
        <c:ser>
          <c:idx val="3"/>
          <c:order val="3"/>
          <c:tx>
            <c:v>úklid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NZ'!$M$10:$M$33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B-4380-8D58-0DFE7CC3745F}"/>
            </c:ext>
          </c:extLst>
        </c:ser>
        <c:ser>
          <c:idx val="4"/>
          <c:order val="4"/>
          <c:tx>
            <c:strRef>
              <c:f>'Příprava TV+návrh NZ'!$N$8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'Příprava TV+návrh NZ'!$O$10:$O$33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B-4380-8D58-0DFE7CC3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41408"/>
        <c:axId val="97047680"/>
      </c:barChart>
      <c:catAx>
        <c:axId val="9704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čas [hod]</a:t>
                </a:r>
              </a:p>
            </c:rich>
          </c:tx>
          <c:layout>
            <c:manualLayout>
              <c:xMode val="edge"/>
              <c:yMode val="edge"/>
              <c:x val="0.49045801526717603"/>
              <c:y val="0.818181818181819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04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4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příkon [kW]</a:t>
                </a:r>
              </a:p>
            </c:rich>
          </c:tx>
          <c:layout>
            <c:manualLayout>
              <c:xMode val="edge"/>
              <c:yMode val="edge"/>
              <c:x val="3.053435114503817E-2"/>
              <c:y val="0.35777126099706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041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3435114503818"/>
          <c:y val="0.91495601173020458"/>
          <c:w val="0.47519083969465703"/>
          <c:h val="6.45161290322581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359698</xdr:colOff>
      <xdr:row>38</xdr:row>
      <xdr:rowOff>167791</xdr:rowOff>
    </xdr:from>
    <xdr:to>
      <xdr:col>23</xdr:col>
      <xdr:colOff>571500</xdr:colOff>
      <xdr:row>58</xdr:row>
      <xdr:rowOff>17837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60</xdr:row>
      <xdr:rowOff>0</xdr:rowOff>
    </xdr:from>
    <xdr:to>
      <xdr:col>23</xdr:col>
      <xdr:colOff>600075</xdr:colOff>
      <xdr:row>79</xdr:row>
      <xdr:rowOff>123825</xdr:rowOff>
    </xdr:to>
    <xdr:graphicFrame macro="">
      <xdr:nvGraphicFramePr>
        <xdr:cNvPr id="1042" name="Chart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30</xdr:col>
      <xdr:colOff>704962</xdr:colOff>
      <xdr:row>0</xdr:row>
      <xdr:rowOff>202155</xdr:rowOff>
    </xdr:from>
    <xdr:to>
      <xdr:col>33</xdr:col>
      <xdr:colOff>555705</xdr:colOff>
      <xdr:row>4</xdr:row>
      <xdr:rowOff>117576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26B224A-7B03-49F7-BC4B-D8F89E417E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15354412" y="202155"/>
          <a:ext cx="1921478" cy="648846"/>
        </a:xfrm>
        <a:prstGeom prst="rect">
          <a:avLst/>
        </a:prstGeom>
      </xdr:spPr>
    </xdr:pic>
    <xdr:clientData/>
  </xdr:twoCellAnchor>
  <xdr:twoCellAnchor editAs="oneCell">
    <xdr:from>
      <xdr:col>17</xdr:col>
      <xdr:colOff>106680</xdr:colOff>
      <xdr:row>0</xdr:row>
      <xdr:rowOff>201931</xdr:rowOff>
    </xdr:from>
    <xdr:to>
      <xdr:col>20</xdr:col>
      <xdr:colOff>629322</xdr:colOff>
      <xdr:row>4</xdr:row>
      <xdr:rowOff>114480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BA998E7-2B35-4DDF-8E70-319184617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6325945" y="201931"/>
          <a:ext cx="1956995" cy="63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28575</xdr:rowOff>
    </xdr:from>
    <xdr:to>
      <xdr:col>8</xdr:col>
      <xdr:colOff>1095375</xdr:colOff>
      <xdr:row>31</xdr:row>
      <xdr:rowOff>180975</xdr:rowOff>
    </xdr:to>
    <xdr:graphicFrame macro="">
      <xdr:nvGraphicFramePr>
        <xdr:cNvPr id="2065" name="Chart 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19050</xdr:rowOff>
    </xdr:from>
    <xdr:to>
      <xdr:col>8</xdr:col>
      <xdr:colOff>876300</xdr:colOff>
      <xdr:row>46</xdr:row>
      <xdr:rowOff>161925</xdr:rowOff>
    </xdr:to>
    <xdr:graphicFrame macro="">
      <xdr:nvGraphicFramePr>
        <xdr:cNvPr id="2066" name="Chart 2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38</xdr:row>
      <xdr:rowOff>0</xdr:rowOff>
    </xdr:from>
    <xdr:to>
      <xdr:col>24</xdr:col>
      <xdr:colOff>352425</xdr:colOff>
      <xdr:row>56</xdr:row>
      <xdr:rowOff>152400</xdr:rowOff>
    </xdr:to>
    <xdr:graphicFrame macro="">
      <xdr:nvGraphicFramePr>
        <xdr:cNvPr id="3163" name="Chart 1">
          <a:extLst>
            <a:ext uri="{FF2B5EF4-FFF2-40B4-BE49-F238E27FC236}">
              <a16:creationId xmlns:a16="http://schemas.microsoft.com/office/drawing/2014/main" id="{00000000-0008-0000-0200-00005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58</xdr:row>
      <xdr:rowOff>0</xdr:rowOff>
    </xdr:from>
    <xdr:to>
      <xdr:col>24</xdr:col>
      <xdr:colOff>361950</xdr:colOff>
      <xdr:row>77</xdr:row>
      <xdr:rowOff>133350</xdr:rowOff>
    </xdr:to>
    <xdr:graphicFrame macro="">
      <xdr:nvGraphicFramePr>
        <xdr:cNvPr id="3164" name="Chart 2">
          <a:extLst>
            <a:ext uri="{FF2B5EF4-FFF2-40B4-BE49-F238E27FC236}">
              <a16:creationId xmlns:a16="http://schemas.microsoft.com/office/drawing/2014/main" id="{00000000-0008-0000-0200-00005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514350</xdr:colOff>
      <xdr:row>68</xdr:row>
      <xdr:rowOff>38100</xdr:rowOff>
    </xdr:from>
    <xdr:to>
      <xdr:col>12</xdr:col>
      <xdr:colOff>209550</xdr:colOff>
      <xdr:row>76</xdr:row>
      <xdr:rowOff>76200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rrowheads="1"/>
        </xdr:cNvSpPr>
      </xdr:nvSpPr>
      <xdr:spPr bwMode="auto">
        <a:xfrm>
          <a:off x="1676400" y="11239500"/>
          <a:ext cx="2838450" cy="1333500"/>
        </a:xfrm>
        <a:prstGeom prst="wedgeRoundRectCallout">
          <a:avLst>
            <a:gd name="adj1" fmla="val -29532"/>
            <a:gd name="adj2" fmla="val -9928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cs-CZ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1. </a:t>
          </a: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Nejprve zadejte požadavky na potřebu teplé vody. </a:t>
          </a:r>
        </a:p>
        <a:p>
          <a:pPr algn="l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Tím získáte celkovou potřebu TV</a:t>
          </a:r>
          <a:endParaRPr lang="cs-CZ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Přepisujte pouze žlutě zvýrazněné údaje</a:t>
          </a:r>
        </a:p>
      </xdr:txBody>
    </xdr:sp>
    <xdr:clientData/>
  </xdr:twoCellAnchor>
  <xdr:twoCellAnchor>
    <xdr:from>
      <xdr:col>15</xdr:col>
      <xdr:colOff>228600</xdr:colOff>
      <xdr:row>0</xdr:row>
      <xdr:rowOff>66675</xdr:rowOff>
    </xdr:from>
    <xdr:to>
      <xdr:col>20</xdr:col>
      <xdr:colOff>428625</xdr:colOff>
      <xdr:row>4</xdr:row>
      <xdr:rowOff>142875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rrowheads="1"/>
        </xdr:cNvSpPr>
      </xdr:nvSpPr>
      <xdr:spPr bwMode="auto">
        <a:xfrm>
          <a:off x="5619750" y="66675"/>
          <a:ext cx="2324100" cy="790575"/>
        </a:xfrm>
        <a:prstGeom prst="wedgeRoundRectCallout">
          <a:avLst>
            <a:gd name="adj1" fmla="val -32375"/>
            <a:gd name="adj2" fmla="val 11506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cs-CZ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2. </a:t>
          </a: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Zadejte součinitel ztrát. </a:t>
          </a:r>
        </a:p>
        <a:p>
          <a:pPr algn="l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nové rozvody   z = 0,5</a:t>
          </a:r>
        </a:p>
        <a:p>
          <a:pPr algn="l" rtl="0">
            <a:defRPr sz="1000"/>
          </a:pP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starší rozvody   z = 2 ÷ 4</a:t>
          </a:r>
        </a:p>
      </xdr:txBody>
    </xdr:sp>
    <xdr:clientData/>
  </xdr:twoCellAnchor>
  <xdr:twoCellAnchor>
    <xdr:from>
      <xdr:col>8</xdr:col>
      <xdr:colOff>38100</xdr:colOff>
      <xdr:row>0</xdr:row>
      <xdr:rowOff>85725</xdr:rowOff>
    </xdr:from>
    <xdr:to>
      <xdr:col>13</xdr:col>
      <xdr:colOff>276225</xdr:colOff>
      <xdr:row>5</xdr:row>
      <xdr:rowOff>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 noChangeArrowheads="1"/>
        </xdr:cNvSpPr>
      </xdr:nvSpPr>
      <xdr:spPr bwMode="auto">
        <a:xfrm>
          <a:off x="2895600" y="85725"/>
          <a:ext cx="2047875" cy="790575"/>
        </a:xfrm>
        <a:prstGeom prst="wedgeRoundRectCallout">
          <a:avLst>
            <a:gd name="adj1" fmla="val 40699"/>
            <a:gd name="adj2" fmla="val 14156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cs-CZ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3. </a:t>
          </a: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Vyplňte procentuální rozložení spotřeby TV v průběhu dne</a:t>
          </a:r>
        </a:p>
      </xdr:txBody>
    </xdr:sp>
    <xdr:clientData/>
  </xdr:twoCellAnchor>
  <xdr:twoCellAnchor>
    <xdr:from>
      <xdr:col>1</xdr:col>
      <xdr:colOff>9525</xdr:colOff>
      <xdr:row>33</xdr:row>
      <xdr:rowOff>28575</xdr:rowOff>
    </xdr:from>
    <xdr:to>
      <xdr:col>5</xdr:col>
      <xdr:colOff>133350</xdr:colOff>
      <xdr:row>37</xdr:row>
      <xdr:rowOff>104775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400050" y="5476875"/>
          <a:ext cx="1504950" cy="733425"/>
        </a:xfrm>
        <a:prstGeom prst="wedgeRoundRectCallout">
          <a:avLst>
            <a:gd name="adj1" fmla="val 53167"/>
            <a:gd name="adj2" fmla="val 13181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cs-CZ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4. </a:t>
          </a: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Stanovte výkon ohřívače a objem akumulace</a:t>
          </a:r>
        </a:p>
      </xdr:txBody>
    </xdr:sp>
    <xdr:clientData/>
  </xdr:twoCellAnchor>
  <xdr:twoCellAnchor>
    <xdr:from>
      <xdr:col>13</xdr:col>
      <xdr:colOff>228600</xdr:colOff>
      <xdr:row>37</xdr:row>
      <xdr:rowOff>28575</xdr:rowOff>
    </xdr:from>
    <xdr:to>
      <xdr:col>18</xdr:col>
      <xdr:colOff>342900</xdr:colOff>
      <xdr:row>44</xdr:row>
      <xdr:rowOff>114300</xdr:rowOff>
    </xdr:to>
    <xdr:sp macro="" textlink="">
      <xdr:nvSpPr>
        <xdr:cNvPr id="3079" name="AutoShape 7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ChangeArrowheads="1"/>
        </xdr:cNvSpPr>
      </xdr:nvSpPr>
      <xdr:spPr bwMode="auto">
        <a:xfrm>
          <a:off x="4895850" y="6134100"/>
          <a:ext cx="2238375" cy="1257300"/>
        </a:xfrm>
        <a:prstGeom prst="wedgeRoundRectCallout">
          <a:avLst>
            <a:gd name="adj1" fmla="val -78083"/>
            <a:gd name="adj2" fmla="val -393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cs-CZ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5. </a:t>
          </a: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Stanovte počáteční nabití nádoby (mělo by odpovídat akumulaci o půlnoci, opakujte než se bude hodnota shodovat) </a:t>
          </a:r>
        </a:p>
      </xdr:txBody>
    </xdr:sp>
    <xdr:clientData/>
  </xdr:twoCellAnchor>
  <xdr:twoCellAnchor>
    <xdr:from>
      <xdr:col>6</xdr:col>
      <xdr:colOff>342900</xdr:colOff>
      <xdr:row>32</xdr:row>
      <xdr:rowOff>76200</xdr:rowOff>
    </xdr:from>
    <xdr:to>
      <xdr:col>20</xdr:col>
      <xdr:colOff>390525</xdr:colOff>
      <xdr:row>44</xdr:row>
      <xdr:rowOff>47625</xdr:rowOff>
    </xdr:to>
    <xdr:cxnSp macro="">
      <xdr:nvCxnSpPr>
        <xdr:cNvPr id="3170" name="AutoShape 8">
          <a:extLst>
            <a:ext uri="{FF2B5EF4-FFF2-40B4-BE49-F238E27FC236}">
              <a16:creationId xmlns:a16="http://schemas.microsoft.com/office/drawing/2014/main" id="{00000000-0008-0000-0200-0000620C0000}"/>
            </a:ext>
          </a:extLst>
        </xdr:cNvPr>
        <xdr:cNvCxnSpPr>
          <a:cxnSpLocks noChangeShapeType="1"/>
        </xdr:cNvCxnSpPr>
      </xdr:nvCxnSpPr>
      <xdr:spPr bwMode="auto">
        <a:xfrm rot="10800000" flipV="1">
          <a:off x="2476500" y="5353050"/>
          <a:ext cx="5429250" cy="1971675"/>
        </a:xfrm>
        <a:prstGeom prst="curvedConnector3">
          <a:avLst>
            <a:gd name="adj1" fmla="val 67366"/>
          </a:avLst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21</xdr:col>
      <xdr:colOff>409575</xdr:colOff>
      <xdr:row>14</xdr:row>
      <xdr:rowOff>104775</xdr:rowOff>
    </xdr:from>
    <xdr:to>
      <xdr:col>25</xdr:col>
      <xdr:colOff>209550</xdr:colOff>
      <xdr:row>23</xdr:row>
      <xdr:rowOff>85725</xdr:rowOff>
    </xdr:to>
    <xdr:sp macro="" textlink="">
      <xdr:nvSpPr>
        <xdr:cNvPr id="3081" name="AutoShape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>
          <a:spLocks noChangeArrowheads="1"/>
        </xdr:cNvSpPr>
      </xdr:nvSpPr>
      <xdr:spPr bwMode="auto">
        <a:xfrm>
          <a:off x="8601075" y="2466975"/>
          <a:ext cx="2238375" cy="1438275"/>
        </a:xfrm>
        <a:prstGeom prst="wedgeRoundRectCallout">
          <a:avLst>
            <a:gd name="adj1" fmla="val -70852"/>
            <a:gd name="adj2" fmla="val -1182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cs-CZ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6. </a:t>
          </a:r>
          <a:r>
            <a:rPr lang="cs-CZ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Zkontrolujte, že v žádné době nedosahuje akumulace záporných hodnot (to by znamenalo, že je nedostatečný výkon nebo objem akumulace)</a:t>
          </a:r>
        </a:p>
      </xdr:txBody>
    </xdr:sp>
    <xdr:clientData/>
  </xdr:twoCellAnchor>
  <xdr:twoCellAnchor>
    <xdr:from>
      <xdr:col>5</xdr:col>
      <xdr:colOff>190500</xdr:colOff>
      <xdr:row>39</xdr:row>
      <xdr:rowOff>76200</xdr:rowOff>
    </xdr:from>
    <xdr:to>
      <xdr:col>6</xdr:col>
      <xdr:colOff>85725</xdr:colOff>
      <xdr:row>42</xdr:row>
      <xdr:rowOff>85725</xdr:rowOff>
    </xdr:to>
    <xdr:sp macro="" textlink="">
      <xdr:nvSpPr>
        <xdr:cNvPr id="3172" name="Freeform 12">
          <a:extLst>
            <a:ext uri="{FF2B5EF4-FFF2-40B4-BE49-F238E27FC236}">
              <a16:creationId xmlns:a16="http://schemas.microsoft.com/office/drawing/2014/main" id="{00000000-0008-0000-0200-0000640C0000}"/>
            </a:ext>
          </a:extLst>
        </xdr:cNvPr>
        <xdr:cNvSpPr>
          <a:spLocks/>
        </xdr:cNvSpPr>
      </xdr:nvSpPr>
      <xdr:spPr bwMode="auto">
        <a:xfrm>
          <a:off x="1962150" y="6505575"/>
          <a:ext cx="257175" cy="514350"/>
        </a:xfrm>
        <a:custGeom>
          <a:avLst/>
          <a:gdLst>
            <a:gd name="T0" fmla="*/ 2147483647 w 27"/>
            <a:gd name="T1" fmla="*/ 0 h 54"/>
            <a:gd name="T2" fmla="*/ 0 w 27"/>
            <a:gd name="T3" fmla="*/ 2147483647 h 54"/>
            <a:gd name="T4" fmla="*/ 2147483647 w 27"/>
            <a:gd name="T5" fmla="*/ 2147483647 h 54"/>
            <a:gd name="T6" fmla="*/ 0 60000 65536"/>
            <a:gd name="T7" fmla="*/ 0 60000 65536"/>
            <a:gd name="T8" fmla="*/ 0 60000 65536"/>
            <a:gd name="T9" fmla="*/ 0 w 27"/>
            <a:gd name="T10" fmla="*/ 0 h 54"/>
            <a:gd name="T11" fmla="*/ 27 w 27"/>
            <a:gd name="T12" fmla="*/ 54 h 5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7" h="54">
              <a:moveTo>
                <a:pt x="27" y="0"/>
              </a:moveTo>
              <a:lnTo>
                <a:pt x="0" y="25"/>
              </a:lnTo>
              <a:lnTo>
                <a:pt x="26" y="54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5</xdr:col>
      <xdr:colOff>142875</xdr:colOff>
      <xdr:row>40</xdr:row>
      <xdr:rowOff>114300</xdr:rowOff>
    </xdr:from>
    <xdr:to>
      <xdr:col>6</xdr:col>
      <xdr:colOff>38100</xdr:colOff>
      <xdr:row>43</xdr:row>
      <xdr:rowOff>123825</xdr:rowOff>
    </xdr:to>
    <xdr:sp macro="" textlink="">
      <xdr:nvSpPr>
        <xdr:cNvPr id="3173" name="Freeform 13">
          <a:extLst>
            <a:ext uri="{FF2B5EF4-FFF2-40B4-BE49-F238E27FC236}">
              <a16:creationId xmlns:a16="http://schemas.microsoft.com/office/drawing/2014/main" id="{00000000-0008-0000-0200-0000650C0000}"/>
            </a:ext>
          </a:extLst>
        </xdr:cNvPr>
        <xdr:cNvSpPr>
          <a:spLocks/>
        </xdr:cNvSpPr>
      </xdr:nvSpPr>
      <xdr:spPr bwMode="auto">
        <a:xfrm>
          <a:off x="1914525" y="6705600"/>
          <a:ext cx="257175" cy="514350"/>
        </a:xfrm>
        <a:custGeom>
          <a:avLst/>
          <a:gdLst>
            <a:gd name="T0" fmla="*/ 2147483647 w 27"/>
            <a:gd name="T1" fmla="*/ 0 h 54"/>
            <a:gd name="T2" fmla="*/ 0 w 27"/>
            <a:gd name="T3" fmla="*/ 2147483647 h 54"/>
            <a:gd name="T4" fmla="*/ 2147483647 w 27"/>
            <a:gd name="T5" fmla="*/ 2147483647 h 54"/>
            <a:gd name="T6" fmla="*/ 0 60000 65536"/>
            <a:gd name="T7" fmla="*/ 0 60000 65536"/>
            <a:gd name="T8" fmla="*/ 0 60000 65536"/>
            <a:gd name="T9" fmla="*/ 0 w 27"/>
            <a:gd name="T10" fmla="*/ 0 h 54"/>
            <a:gd name="T11" fmla="*/ 27 w 27"/>
            <a:gd name="T12" fmla="*/ 54 h 5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7" h="54">
              <a:moveTo>
                <a:pt x="27" y="0"/>
              </a:moveTo>
              <a:lnTo>
                <a:pt x="0" y="25"/>
              </a:lnTo>
              <a:lnTo>
                <a:pt x="26" y="54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601980</xdr:colOff>
      <xdr:row>0</xdr:row>
      <xdr:rowOff>123825</xdr:rowOff>
    </xdr:from>
    <xdr:to>
      <xdr:col>2</xdr:col>
      <xdr:colOff>2839601</xdr:colOff>
      <xdr:row>0</xdr:row>
      <xdr:rowOff>1005912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8EC4861-9B3C-49CE-8DD7-D292C13AA6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18" t="19560" r="12869" b="25428"/>
        <a:stretch/>
      </xdr:blipFill>
      <xdr:spPr>
        <a:xfrm>
          <a:off x="1211580" y="123825"/>
          <a:ext cx="2833886" cy="874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X82"/>
  <sheetViews>
    <sheetView tabSelected="1" topLeftCell="A16" zoomScaleNormal="100" workbookViewId="0">
      <selection activeCell="G45" sqref="G45"/>
    </sheetView>
  </sheetViews>
  <sheetFormatPr defaultColWidth="8.7109375" defaultRowHeight="12.75" x14ac:dyDescent="0.2"/>
  <cols>
    <col min="1" max="1" width="5.7109375" customWidth="1"/>
    <col min="2" max="2" width="4" customWidth="1"/>
    <col min="3" max="3" width="3.42578125" customWidth="1"/>
    <col min="4" max="4" width="4" customWidth="1"/>
    <col min="6" max="17" width="5.42578125" customWidth="1"/>
    <col min="18" max="18" width="10.140625" customWidth="1"/>
    <col min="19" max="20" width="5.42578125" customWidth="1"/>
    <col min="21" max="21" width="10.140625" customWidth="1"/>
    <col min="23" max="23" width="4.7109375" customWidth="1"/>
    <col min="24" max="24" width="22.140625" customWidth="1"/>
    <col min="25" max="25" width="11.7109375" customWidth="1"/>
    <col min="26" max="26" width="7.7109375" customWidth="1"/>
    <col min="27" max="27" width="10.5703125" bestFit="1" customWidth="1"/>
    <col min="28" max="28" width="3.7109375" customWidth="1"/>
    <col min="29" max="29" width="10.28515625" bestFit="1" customWidth="1"/>
    <col min="31" max="31" width="10.5703125" customWidth="1"/>
    <col min="32" max="32" width="9" customWidth="1"/>
    <col min="33" max="34" width="10.5703125" customWidth="1"/>
    <col min="35" max="35" width="10.28515625" bestFit="1" customWidth="1"/>
    <col min="36" max="36" width="10" bestFit="1" customWidth="1"/>
    <col min="38" max="38" width="10.42578125" customWidth="1"/>
    <col min="39" max="40" width="8.7109375" customWidth="1"/>
    <col min="41" max="41" width="10" customWidth="1"/>
    <col min="42" max="43" width="8.7109375" customWidth="1"/>
  </cols>
  <sheetData>
    <row r="1" spans="1:50" ht="18" x14ac:dyDescent="0.25">
      <c r="A1" s="1" t="s">
        <v>0</v>
      </c>
      <c r="X1" s="1" t="s">
        <v>175</v>
      </c>
    </row>
    <row r="2" spans="1:50" x14ac:dyDescent="0.2">
      <c r="A2" s="154" t="s">
        <v>46</v>
      </c>
      <c r="B2" s="154"/>
      <c r="C2" s="154"/>
      <c r="D2" s="154"/>
      <c r="E2" s="154"/>
      <c r="X2" s="143" t="s">
        <v>46</v>
      </c>
      <c r="Y2" s="143"/>
      <c r="Z2" s="143"/>
      <c r="AA2" s="143"/>
      <c r="AB2" s="143"/>
      <c r="AM2">
        <v>15</v>
      </c>
      <c r="AN2" t="s">
        <v>114</v>
      </c>
    </row>
    <row r="3" spans="1:50" x14ac:dyDescent="0.2">
      <c r="A3" s="153" t="s">
        <v>107</v>
      </c>
      <c r="B3" s="153"/>
      <c r="C3" s="153"/>
      <c r="D3" s="153"/>
      <c r="E3" s="153"/>
      <c r="X3" s="145" t="s">
        <v>107</v>
      </c>
      <c r="Y3" s="131"/>
      <c r="AM3" s="38" t="s">
        <v>117</v>
      </c>
      <c r="AN3">
        <v>4182</v>
      </c>
      <c r="AO3" t="s">
        <v>118</v>
      </c>
    </row>
    <row r="4" spans="1:50" x14ac:dyDescent="0.2">
      <c r="A4" s="155" t="s">
        <v>47</v>
      </c>
      <c r="B4" s="155"/>
      <c r="C4" s="155"/>
      <c r="D4" s="155"/>
      <c r="E4" s="155"/>
      <c r="X4" s="146" t="s">
        <v>108</v>
      </c>
      <c r="Y4" s="131"/>
      <c r="AM4" s="38" t="s">
        <v>121</v>
      </c>
      <c r="AN4">
        <f>AN7-AN6</f>
        <v>45</v>
      </c>
      <c r="AO4" t="s">
        <v>122</v>
      </c>
      <c r="AR4" s="171" t="s">
        <v>59</v>
      </c>
      <c r="AS4" s="171"/>
      <c r="AT4" s="171"/>
      <c r="AU4" s="171" t="s">
        <v>66</v>
      </c>
      <c r="AV4" s="171"/>
      <c r="AW4" s="171"/>
      <c r="AX4" s="171"/>
    </row>
    <row r="5" spans="1:50" x14ac:dyDescent="0.2">
      <c r="A5" s="165" t="s">
        <v>79</v>
      </c>
      <c r="B5" s="165"/>
      <c r="C5" s="165"/>
      <c r="D5" s="165"/>
      <c r="E5" s="165"/>
      <c r="AM5" t="s">
        <v>125</v>
      </c>
      <c r="AN5">
        <v>40</v>
      </c>
      <c r="AO5" t="s">
        <v>122</v>
      </c>
      <c r="AR5" s="80" t="s">
        <v>53</v>
      </c>
      <c r="AS5" s="80" t="s">
        <v>51</v>
      </c>
      <c r="AT5" s="80" t="s">
        <v>61</v>
      </c>
      <c r="AU5" s="80" t="s">
        <v>69</v>
      </c>
      <c r="AV5" s="80" t="s">
        <v>48</v>
      </c>
      <c r="AW5" s="80" t="s">
        <v>67</v>
      </c>
      <c r="AX5" s="80" t="s">
        <v>68</v>
      </c>
    </row>
    <row r="6" spans="1:50" ht="13.9" customHeight="1" thickBot="1" x14ac:dyDescent="0.25">
      <c r="AM6" t="s">
        <v>127</v>
      </c>
      <c r="AN6">
        <v>10</v>
      </c>
      <c r="AO6" t="s">
        <v>122</v>
      </c>
      <c r="AR6" s="80" t="s">
        <v>60</v>
      </c>
      <c r="AS6" s="80" t="s">
        <v>60</v>
      </c>
      <c r="AT6" s="80"/>
      <c r="AU6" s="81">
        <v>0</v>
      </c>
      <c r="AV6" s="81">
        <v>0</v>
      </c>
      <c r="AW6" s="81">
        <v>0</v>
      </c>
      <c r="AX6" s="83">
        <f>G45</f>
        <v>26.162500000000001</v>
      </c>
    </row>
    <row r="7" spans="1:50" s="2" customFormat="1" ht="15" customHeight="1" thickBot="1" x14ac:dyDescent="0.25">
      <c r="B7" s="12"/>
      <c r="C7" s="13"/>
      <c r="D7" s="14"/>
      <c r="E7" s="159" t="s">
        <v>11</v>
      </c>
      <c r="F7" s="160"/>
      <c r="G7" s="160"/>
      <c r="H7" s="160"/>
      <c r="I7" s="160"/>
      <c r="J7" s="160"/>
      <c r="K7" s="160"/>
      <c r="L7" s="160"/>
      <c r="M7" s="160"/>
      <c r="N7" s="160"/>
      <c r="O7" s="161"/>
      <c r="P7" s="159" t="s">
        <v>48</v>
      </c>
      <c r="Q7" s="160"/>
      <c r="R7" s="58" t="s">
        <v>51</v>
      </c>
      <c r="S7" s="174" t="s">
        <v>53</v>
      </c>
      <c r="T7" s="175"/>
      <c r="U7" s="78" t="s">
        <v>57</v>
      </c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M7" t="s">
        <v>130</v>
      </c>
      <c r="AN7">
        <v>55</v>
      </c>
      <c r="AO7" t="s">
        <v>122</v>
      </c>
      <c r="AP7"/>
      <c r="AQ7"/>
      <c r="AR7" s="84">
        <f>spot/24</f>
        <v>3.5499999999999994</v>
      </c>
      <c r="AS7" s="84">
        <f>R10</f>
        <v>1.6713333333333333</v>
      </c>
      <c r="AT7" s="84">
        <f>AS7-AR7</f>
        <v>-1.878666666666666</v>
      </c>
      <c r="AU7" s="84">
        <v>1</v>
      </c>
      <c r="AV7" s="83">
        <f t="shared" ref="AV7:AV30" si="0">Q10+AV6</f>
        <v>1.1833333333333333</v>
      </c>
      <c r="AW7" s="83">
        <f t="shared" ref="AW7:AW30" si="1">E10+AW6</f>
        <v>0.48799999999999999</v>
      </c>
      <c r="AX7" s="83">
        <f t="shared" ref="AX7:AX30" si="2">U10</f>
        <v>26.162500000000001</v>
      </c>
    </row>
    <row r="8" spans="1:50" s="2" customFormat="1" ht="12.6" customHeight="1" x14ac:dyDescent="0.25">
      <c r="B8" s="166" t="s">
        <v>1</v>
      </c>
      <c r="C8" s="167"/>
      <c r="D8" s="168"/>
      <c r="E8" s="36" t="s">
        <v>3</v>
      </c>
      <c r="F8" s="162" t="s">
        <v>4</v>
      </c>
      <c r="G8" s="163"/>
      <c r="H8" s="164" t="s">
        <v>5</v>
      </c>
      <c r="I8" s="163"/>
      <c r="J8" s="164" t="s">
        <v>6</v>
      </c>
      <c r="K8" s="163"/>
      <c r="L8" s="164" t="s">
        <v>7</v>
      </c>
      <c r="M8" s="163"/>
      <c r="N8" s="164" t="s">
        <v>8</v>
      </c>
      <c r="O8" s="173"/>
      <c r="P8" s="174" t="s">
        <v>50</v>
      </c>
      <c r="Q8" s="177"/>
      <c r="R8" s="59" t="s">
        <v>52</v>
      </c>
      <c r="S8" s="176" t="s">
        <v>55</v>
      </c>
      <c r="T8" s="163"/>
      <c r="U8" s="79" t="s">
        <v>56</v>
      </c>
      <c r="X8" s="144" t="s">
        <v>109</v>
      </c>
      <c r="Y8" s="13"/>
      <c r="Z8" s="127"/>
      <c r="AA8" s="127"/>
      <c r="AB8" s="127"/>
      <c r="AC8" s="127"/>
      <c r="AD8" s="127"/>
      <c r="AE8" s="127"/>
      <c r="AF8" s="127"/>
      <c r="AG8" s="127"/>
      <c r="AH8" s="128"/>
      <c r="AM8" t="s">
        <v>132</v>
      </c>
      <c r="AN8">
        <v>1</v>
      </c>
      <c r="AO8" t="s">
        <v>120</v>
      </c>
      <c r="AP8"/>
      <c r="AQ8"/>
      <c r="AR8" s="84">
        <f t="shared" ref="AR8:AR30" si="3">AR7+spot/24</f>
        <v>7.0999999999999988</v>
      </c>
      <c r="AS8" s="84">
        <f t="shared" ref="AS8:AS30" si="4">AS7+R11</f>
        <v>2.8546666666666667</v>
      </c>
      <c r="AT8" s="84">
        <f t="shared" ref="AT8:AT30" si="5">AS8-AR8</f>
        <v>-4.2453333333333321</v>
      </c>
      <c r="AU8" s="84">
        <v>2</v>
      </c>
      <c r="AV8" s="83">
        <f t="shared" si="0"/>
        <v>2.3666666666666667</v>
      </c>
      <c r="AW8" s="83">
        <f t="shared" si="1"/>
        <v>0.48799999999999999</v>
      </c>
      <c r="AX8" s="83">
        <f t="shared" si="2"/>
        <v>26.162500000000001</v>
      </c>
    </row>
    <row r="9" spans="1:50" s="2" customFormat="1" ht="13.5" thickBot="1" x14ac:dyDescent="0.25">
      <c r="B9" s="15"/>
      <c r="C9" s="16"/>
      <c r="D9" s="17"/>
      <c r="E9" s="37"/>
      <c r="F9" s="11" t="s">
        <v>9</v>
      </c>
      <c r="G9" s="5" t="s">
        <v>10</v>
      </c>
      <c r="H9" s="5" t="s">
        <v>9</v>
      </c>
      <c r="I9" s="5" t="s">
        <v>10</v>
      </c>
      <c r="J9" s="5" t="s">
        <v>9</v>
      </c>
      <c r="K9" s="5" t="s">
        <v>10</v>
      </c>
      <c r="L9" s="5" t="s">
        <v>9</v>
      </c>
      <c r="M9" s="5" t="s">
        <v>10</v>
      </c>
      <c r="N9" s="5" t="s">
        <v>9</v>
      </c>
      <c r="O9" s="6" t="s">
        <v>10</v>
      </c>
      <c r="P9" s="56" t="s">
        <v>49</v>
      </c>
      <c r="Q9" s="60">
        <v>0.5</v>
      </c>
      <c r="R9" s="67" t="s">
        <v>10</v>
      </c>
      <c r="S9" s="77" t="s">
        <v>9</v>
      </c>
      <c r="T9" s="9" t="s">
        <v>15</v>
      </c>
      <c r="U9" s="10" t="s">
        <v>10</v>
      </c>
      <c r="X9" s="129" t="s">
        <v>110</v>
      </c>
      <c r="Y9" s="134">
        <v>4</v>
      </c>
      <c r="Z9" t="s">
        <v>111</v>
      </c>
      <c r="AA9"/>
      <c r="AB9"/>
      <c r="AC9"/>
      <c r="AD9"/>
      <c r="AE9"/>
      <c r="AF9"/>
      <c r="AG9"/>
      <c r="AH9" s="130"/>
      <c r="AM9"/>
      <c r="AN9">
        <f>AN8/60</f>
        <v>1.6666666666666666E-2</v>
      </c>
      <c r="AO9" t="s">
        <v>134</v>
      </c>
      <c r="AP9"/>
      <c r="AQ9"/>
      <c r="AR9" s="84">
        <f t="shared" si="3"/>
        <v>10.649999999999999</v>
      </c>
      <c r="AS9" s="84">
        <f t="shared" si="4"/>
        <v>4.0380000000000003</v>
      </c>
      <c r="AT9" s="84">
        <f t="shared" si="5"/>
        <v>-6.6119999999999983</v>
      </c>
      <c r="AU9" s="84">
        <v>3</v>
      </c>
      <c r="AV9" s="83">
        <f t="shared" si="0"/>
        <v>3.55</v>
      </c>
      <c r="AW9" s="83">
        <f t="shared" si="1"/>
        <v>0.48799999999999999</v>
      </c>
      <c r="AX9" s="83">
        <f t="shared" si="2"/>
        <v>26.162500000000001</v>
      </c>
    </row>
    <row r="10" spans="1:50" x14ac:dyDescent="0.2">
      <c r="B10" s="18">
        <v>0</v>
      </c>
      <c r="C10" s="23" t="s">
        <v>2</v>
      </c>
      <c r="D10" s="19">
        <v>1</v>
      </c>
      <c r="E10" s="52">
        <f>G10+I10+K10+M10+O10</f>
        <v>0.48799999999999999</v>
      </c>
      <c r="F10" s="42">
        <v>1</v>
      </c>
      <c r="G10" s="46">
        <f t="shared" ref="G10:G33" si="6">F10/100*uzi</f>
        <v>0.38799999999999996</v>
      </c>
      <c r="H10" s="34">
        <v>0</v>
      </c>
      <c r="I10" s="46">
        <f t="shared" ref="I10:I33" si="7">H10/100*per</f>
        <v>0</v>
      </c>
      <c r="J10" s="34">
        <v>1</v>
      </c>
      <c r="K10" s="46">
        <f t="shared" ref="K10:K33" si="8">J10/100*gas</f>
        <v>0.1</v>
      </c>
      <c r="L10" s="34">
        <v>0</v>
      </c>
      <c r="M10" s="46">
        <f t="shared" ref="M10:M33" si="9">L10/100*ukl</f>
        <v>0</v>
      </c>
      <c r="N10" s="34">
        <v>0</v>
      </c>
      <c r="O10" s="49">
        <f t="shared" ref="O10:O33" si="10">N10/100*ost</f>
        <v>0</v>
      </c>
      <c r="P10" s="18"/>
      <c r="Q10" s="62">
        <f t="shared" ref="Q10:Q33" si="11">pot/24*ztv</f>
        <v>1.1833333333333333</v>
      </c>
      <c r="R10" s="68">
        <f>E10+Q10</f>
        <v>1.6713333333333333</v>
      </c>
      <c r="S10" s="74">
        <f t="shared" ref="S10:S33" si="12">T10/ele</f>
        <v>0.3342666666666666</v>
      </c>
      <c r="T10" s="75">
        <f>MIN(ele,R10+aku-G45)</f>
        <v>1.6713333333333331</v>
      </c>
      <c r="U10" s="76">
        <f>T10-R10+G45</f>
        <v>26.162500000000001</v>
      </c>
      <c r="V10" s="55"/>
      <c r="X10" s="129" t="s">
        <v>112</v>
      </c>
      <c r="Y10" s="134">
        <v>8</v>
      </c>
      <c r="Z10" t="s">
        <v>113</v>
      </c>
      <c r="AH10" s="130"/>
      <c r="AN10">
        <f>AN9*AN3*AN4</f>
        <v>3136.5</v>
      </c>
      <c r="AO10" t="s">
        <v>136</v>
      </c>
      <c r="AR10" s="84">
        <f t="shared" si="3"/>
        <v>14.199999999999998</v>
      </c>
      <c r="AS10" s="84">
        <f t="shared" si="4"/>
        <v>5.2213333333333338</v>
      </c>
      <c r="AT10" s="84">
        <f t="shared" si="5"/>
        <v>-8.9786666666666637</v>
      </c>
      <c r="AU10" s="84">
        <v>4</v>
      </c>
      <c r="AV10" s="83">
        <f t="shared" si="0"/>
        <v>4.7333333333333334</v>
      </c>
      <c r="AW10" s="83">
        <f t="shared" si="1"/>
        <v>0.48799999999999999</v>
      </c>
      <c r="AX10" s="83">
        <f t="shared" si="2"/>
        <v>26.162500000000001</v>
      </c>
    </row>
    <row r="11" spans="1:50" x14ac:dyDescent="0.2">
      <c r="B11" s="20">
        <v>1</v>
      </c>
      <c r="C11" s="24" t="s">
        <v>2</v>
      </c>
      <c r="D11" s="21">
        <v>2</v>
      </c>
      <c r="E11" s="53">
        <f t="shared" ref="E11:E33" si="13">G11+I11+K11+M11+O11</f>
        <v>0</v>
      </c>
      <c r="F11" s="43">
        <v>0</v>
      </c>
      <c r="G11" s="47">
        <f t="shared" si="6"/>
        <v>0</v>
      </c>
      <c r="H11" s="35">
        <v>0</v>
      </c>
      <c r="I11" s="47">
        <f t="shared" si="7"/>
        <v>0</v>
      </c>
      <c r="J11" s="35">
        <v>0</v>
      </c>
      <c r="K11" s="47">
        <f t="shared" si="8"/>
        <v>0</v>
      </c>
      <c r="L11" s="35">
        <v>0</v>
      </c>
      <c r="M11" s="47">
        <f t="shared" si="9"/>
        <v>0</v>
      </c>
      <c r="N11" s="35">
        <v>0</v>
      </c>
      <c r="O11" s="50">
        <f t="shared" si="10"/>
        <v>0</v>
      </c>
      <c r="P11" s="20"/>
      <c r="Q11" s="63">
        <f t="shared" si="11"/>
        <v>1.1833333333333333</v>
      </c>
      <c r="R11" s="69">
        <f t="shared" ref="R11:R33" si="14">E11+Q11</f>
        <v>1.1833333333333333</v>
      </c>
      <c r="S11" s="72">
        <f t="shared" si="12"/>
        <v>0.23666666666666672</v>
      </c>
      <c r="T11" s="47">
        <f t="shared" ref="T11:T33" si="15">MIN(ele,R11+aku-U10)</f>
        <v>1.1833333333333336</v>
      </c>
      <c r="U11" s="50">
        <f t="shared" ref="U11:U33" si="16">U10+T11-R11</f>
        <v>26.162500000000001</v>
      </c>
      <c r="V11" s="55"/>
      <c r="X11" s="129" t="s">
        <v>115</v>
      </c>
      <c r="Y11" s="124">
        <f>IF(Y9&lt;1.5,1,IF(Y9&lt;5,2,(Y9+60.455)/26.697))</f>
        <v>2</v>
      </c>
      <c r="Z11" t="s">
        <v>116</v>
      </c>
      <c r="AH11" s="130"/>
      <c r="AR11" s="84">
        <f t="shared" si="3"/>
        <v>17.749999999999996</v>
      </c>
      <c r="AS11" s="84">
        <f t="shared" si="4"/>
        <v>6.4046666666666674</v>
      </c>
      <c r="AT11" s="84">
        <f t="shared" si="5"/>
        <v>-11.345333333333329</v>
      </c>
      <c r="AU11" s="84">
        <v>5</v>
      </c>
      <c r="AV11" s="83">
        <f t="shared" si="0"/>
        <v>5.916666666666667</v>
      </c>
      <c r="AW11" s="83">
        <f t="shared" si="1"/>
        <v>0.48799999999999999</v>
      </c>
      <c r="AX11" s="83">
        <f t="shared" si="2"/>
        <v>26.162500000000001</v>
      </c>
    </row>
    <row r="12" spans="1:50" x14ac:dyDescent="0.2">
      <c r="B12" s="20">
        <v>2</v>
      </c>
      <c r="C12" s="24" t="s">
        <v>2</v>
      </c>
      <c r="D12" s="21">
        <v>3</v>
      </c>
      <c r="E12" s="53">
        <f t="shared" si="13"/>
        <v>0</v>
      </c>
      <c r="F12" s="43">
        <v>0</v>
      </c>
      <c r="G12" s="47">
        <f t="shared" si="6"/>
        <v>0</v>
      </c>
      <c r="H12" s="35">
        <v>0</v>
      </c>
      <c r="I12" s="47">
        <f t="shared" si="7"/>
        <v>0</v>
      </c>
      <c r="J12" s="35">
        <v>0</v>
      </c>
      <c r="K12" s="47">
        <f t="shared" si="8"/>
        <v>0</v>
      </c>
      <c r="L12" s="35">
        <v>0</v>
      </c>
      <c r="M12" s="47">
        <f t="shared" si="9"/>
        <v>0</v>
      </c>
      <c r="N12" s="35">
        <v>0</v>
      </c>
      <c r="O12" s="50">
        <f t="shared" si="10"/>
        <v>0</v>
      </c>
      <c r="P12" s="20"/>
      <c r="Q12" s="63">
        <f t="shared" si="11"/>
        <v>1.1833333333333333</v>
      </c>
      <c r="R12" s="69">
        <f t="shared" si="14"/>
        <v>1.1833333333333333</v>
      </c>
      <c r="S12" s="72">
        <f t="shared" si="12"/>
        <v>0.23666666666666672</v>
      </c>
      <c r="T12" s="47">
        <f t="shared" si="15"/>
        <v>1.1833333333333336</v>
      </c>
      <c r="U12" s="50">
        <f t="shared" si="16"/>
        <v>26.162500000000001</v>
      </c>
      <c r="V12" s="55"/>
      <c r="X12" s="129" t="s">
        <v>119</v>
      </c>
      <c r="Y12" s="124">
        <f>Y10*Y11</f>
        <v>16</v>
      </c>
      <c r="Z12" t="s">
        <v>120</v>
      </c>
      <c r="AH12" s="130"/>
      <c r="AR12" s="84">
        <f t="shared" si="3"/>
        <v>21.299999999999997</v>
      </c>
      <c r="AS12" s="84">
        <f t="shared" si="4"/>
        <v>7.9760000000000009</v>
      </c>
      <c r="AT12" s="84">
        <f t="shared" si="5"/>
        <v>-13.323999999999996</v>
      </c>
      <c r="AU12" s="84">
        <v>6</v>
      </c>
      <c r="AV12" s="83">
        <f t="shared" si="0"/>
        <v>7.1000000000000005</v>
      </c>
      <c r="AW12" s="83">
        <f t="shared" si="1"/>
        <v>0.87599999999999989</v>
      </c>
      <c r="AX12" s="83">
        <f t="shared" si="2"/>
        <v>26.162500000000001</v>
      </c>
    </row>
    <row r="13" spans="1:50" x14ac:dyDescent="0.2">
      <c r="B13" s="20">
        <v>3</v>
      </c>
      <c r="C13" s="24" t="s">
        <v>2</v>
      </c>
      <c r="D13" s="21">
        <v>4</v>
      </c>
      <c r="E13" s="53">
        <f t="shared" si="13"/>
        <v>0</v>
      </c>
      <c r="F13" s="43">
        <v>0</v>
      </c>
      <c r="G13" s="47">
        <f t="shared" si="6"/>
        <v>0</v>
      </c>
      <c r="H13" s="35">
        <v>0</v>
      </c>
      <c r="I13" s="47">
        <f t="shared" si="7"/>
        <v>0</v>
      </c>
      <c r="J13" s="35">
        <v>0</v>
      </c>
      <c r="K13" s="47">
        <f t="shared" si="8"/>
        <v>0</v>
      </c>
      <c r="L13" s="35">
        <v>0</v>
      </c>
      <c r="M13" s="47">
        <f t="shared" si="9"/>
        <v>0</v>
      </c>
      <c r="N13" s="35">
        <v>0</v>
      </c>
      <c r="O13" s="50">
        <f t="shared" si="10"/>
        <v>0</v>
      </c>
      <c r="P13" s="20"/>
      <c r="Q13" s="63">
        <f t="shared" si="11"/>
        <v>1.1833333333333333</v>
      </c>
      <c r="R13" s="69">
        <f t="shared" si="14"/>
        <v>1.1833333333333333</v>
      </c>
      <c r="S13" s="72">
        <f t="shared" si="12"/>
        <v>0.23666666666666672</v>
      </c>
      <c r="T13" s="47">
        <f t="shared" si="15"/>
        <v>1.1833333333333336</v>
      </c>
      <c r="U13" s="50">
        <f t="shared" si="16"/>
        <v>26.162500000000001</v>
      </c>
      <c r="V13" s="55"/>
      <c r="X13" s="129" t="s">
        <v>123</v>
      </c>
      <c r="Y13" s="124">
        <f>((Y12/60)*AN3*AN4/1000)</f>
        <v>50.183999999999997</v>
      </c>
      <c r="Z13" t="s">
        <v>15</v>
      </c>
      <c r="AC13" s="185" t="s">
        <v>124</v>
      </c>
      <c r="AD13" s="186"/>
      <c r="AE13" s="186"/>
      <c r="AF13" s="186"/>
      <c r="AG13" s="186"/>
      <c r="AH13" s="187"/>
      <c r="AR13" s="84">
        <f t="shared" si="3"/>
        <v>24.849999999999998</v>
      </c>
      <c r="AS13" s="84">
        <f t="shared" si="4"/>
        <v>11.587333333333333</v>
      </c>
      <c r="AT13" s="84">
        <f t="shared" si="5"/>
        <v>-13.262666666666664</v>
      </c>
      <c r="AU13" s="84">
        <v>7</v>
      </c>
      <c r="AV13" s="83">
        <f t="shared" si="0"/>
        <v>8.2833333333333332</v>
      </c>
      <c r="AW13" s="83">
        <f t="shared" si="1"/>
        <v>3.3039999999999998</v>
      </c>
      <c r="AX13" s="83">
        <f t="shared" si="2"/>
        <v>26.162500000000001</v>
      </c>
    </row>
    <row r="14" spans="1:50" x14ac:dyDescent="0.2">
      <c r="B14" s="20">
        <v>4</v>
      </c>
      <c r="C14" s="24" t="s">
        <v>2</v>
      </c>
      <c r="D14" s="21">
        <v>5</v>
      </c>
      <c r="E14" s="53">
        <f t="shared" si="13"/>
        <v>0</v>
      </c>
      <c r="F14" s="43">
        <v>0</v>
      </c>
      <c r="G14" s="47">
        <f t="shared" si="6"/>
        <v>0</v>
      </c>
      <c r="H14" s="35">
        <v>0</v>
      </c>
      <c r="I14" s="47">
        <f t="shared" si="7"/>
        <v>0</v>
      </c>
      <c r="J14" s="35">
        <v>0</v>
      </c>
      <c r="K14" s="47">
        <f t="shared" si="8"/>
        <v>0</v>
      </c>
      <c r="L14" s="35">
        <v>0</v>
      </c>
      <c r="M14" s="47">
        <f t="shared" si="9"/>
        <v>0</v>
      </c>
      <c r="N14" s="35">
        <v>0</v>
      </c>
      <c r="O14" s="50">
        <f t="shared" si="10"/>
        <v>0</v>
      </c>
      <c r="P14" s="20"/>
      <c r="Q14" s="63">
        <f t="shared" si="11"/>
        <v>1.1833333333333333</v>
      </c>
      <c r="R14" s="69">
        <f t="shared" si="14"/>
        <v>1.1833333333333333</v>
      </c>
      <c r="S14" s="72">
        <f t="shared" si="12"/>
        <v>0.23666666666666672</v>
      </c>
      <c r="T14" s="47">
        <f t="shared" si="15"/>
        <v>1.1833333333333336</v>
      </c>
      <c r="U14" s="50">
        <f t="shared" si="16"/>
        <v>26.162500000000001</v>
      </c>
      <c r="V14" s="55"/>
      <c r="X14" s="129"/>
      <c r="Y14" s="2"/>
      <c r="AC14" s="120" t="s">
        <v>126</v>
      </c>
      <c r="AD14" s="185"/>
      <c r="AE14" s="186"/>
      <c r="AF14" s="186"/>
      <c r="AG14" s="186"/>
      <c r="AH14" s="187"/>
      <c r="AM14" s="120"/>
      <c r="AN14" s="120" t="s">
        <v>143</v>
      </c>
      <c r="AO14" s="120"/>
      <c r="AP14" s="120"/>
      <c r="AR14" s="84">
        <f t="shared" si="3"/>
        <v>28.4</v>
      </c>
      <c r="AS14" s="84">
        <f t="shared" si="4"/>
        <v>16.702666666666666</v>
      </c>
      <c r="AT14" s="84">
        <f t="shared" si="5"/>
        <v>-11.697333333333333</v>
      </c>
      <c r="AU14" s="84">
        <v>8</v>
      </c>
      <c r="AV14" s="83">
        <f t="shared" si="0"/>
        <v>9.4666666666666668</v>
      </c>
      <c r="AW14" s="83">
        <f t="shared" si="1"/>
        <v>7.2359999999999989</v>
      </c>
      <c r="AX14" s="83">
        <f t="shared" si="2"/>
        <v>26.047166666666669</v>
      </c>
    </row>
    <row r="15" spans="1:50" ht="15" x14ac:dyDescent="0.25">
      <c r="B15" s="20">
        <v>5</v>
      </c>
      <c r="C15" s="24" t="s">
        <v>2</v>
      </c>
      <c r="D15" s="21">
        <v>6</v>
      </c>
      <c r="E15" s="53">
        <f t="shared" si="13"/>
        <v>0.38799999999999996</v>
      </c>
      <c r="F15" s="43">
        <v>1</v>
      </c>
      <c r="G15" s="47">
        <f t="shared" si="6"/>
        <v>0.38799999999999996</v>
      </c>
      <c r="H15" s="35">
        <v>0</v>
      </c>
      <c r="I15" s="47">
        <f t="shared" si="7"/>
        <v>0</v>
      </c>
      <c r="J15" s="35">
        <v>0</v>
      </c>
      <c r="K15" s="47">
        <f t="shared" si="8"/>
        <v>0</v>
      </c>
      <c r="L15" s="35">
        <v>0</v>
      </c>
      <c r="M15" s="47">
        <f t="shared" si="9"/>
        <v>0</v>
      </c>
      <c r="N15" s="35">
        <v>0</v>
      </c>
      <c r="O15" s="50">
        <f t="shared" si="10"/>
        <v>0</v>
      </c>
      <c r="P15" s="20"/>
      <c r="Q15" s="63">
        <f t="shared" si="11"/>
        <v>1.1833333333333333</v>
      </c>
      <c r="R15" s="69">
        <f t="shared" si="14"/>
        <v>1.5713333333333332</v>
      </c>
      <c r="S15" s="72">
        <f t="shared" si="12"/>
        <v>0.31426666666666636</v>
      </c>
      <c r="T15" s="47">
        <f t="shared" si="15"/>
        <v>1.5713333333333317</v>
      </c>
      <c r="U15" s="50">
        <f t="shared" si="16"/>
        <v>26.162500000000001</v>
      </c>
      <c r="V15" s="55"/>
      <c r="X15" s="133" t="s">
        <v>128</v>
      </c>
      <c r="Y15" s="2"/>
      <c r="AC15" s="120">
        <v>302</v>
      </c>
      <c r="AD15" s="182" t="s">
        <v>129</v>
      </c>
      <c r="AE15" s="183"/>
      <c r="AF15" s="183"/>
      <c r="AG15" s="183"/>
      <c r="AH15" s="184"/>
      <c r="AM15" s="120"/>
      <c r="AN15" s="120" t="s">
        <v>146</v>
      </c>
      <c r="AO15" s="120" t="s">
        <v>147</v>
      </c>
      <c r="AP15" s="120" t="s">
        <v>59</v>
      </c>
      <c r="AR15" s="84">
        <f t="shared" si="3"/>
        <v>31.95</v>
      </c>
      <c r="AS15" s="84">
        <f t="shared" si="4"/>
        <v>22.102</v>
      </c>
      <c r="AT15" s="84">
        <f t="shared" si="5"/>
        <v>-9.847999999999999</v>
      </c>
      <c r="AU15" s="84">
        <v>9</v>
      </c>
      <c r="AV15" s="83">
        <f t="shared" si="0"/>
        <v>10.65</v>
      </c>
      <c r="AW15" s="83">
        <f t="shared" si="1"/>
        <v>11.451999999999998</v>
      </c>
      <c r="AX15" s="83">
        <f t="shared" si="2"/>
        <v>25.647833333333335</v>
      </c>
    </row>
    <row r="16" spans="1:50" x14ac:dyDescent="0.2">
      <c r="B16" s="20">
        <v>6</v>
      </c>
      <c r="C16" s="24" t="s">
        <v>2</v>
      </c>
      <c r="D16" s="21">
        <v>7</v>
      </c>
      <c r="E16" s="53">
        <f t="shared" si="13"/>
        <v>2.4279999999999999</v>
      </c>
      <c r="F16" s="43">
        <v>6</v>
      </c>
      <c r="G16" s="47">
        <f t="shared" si="6"/>
        <v>2.3279999999999998</v>
      </c>
      <c r="H16" s="35">
        <v>0</v>
      </c>
      <c r="I16" s="47">
        <f t="shared" si="7"/>
        <v>0</v>
      </c>
      <c r="J16" s="35">
        <v>1</v>
      </c>
      <c r="K16" s="47">
        <f t="shared" si="8"/>
        <v>0.1</v>
      </c>
      <c r="L16" s="35">
        <v>20</v>
      </c>
      <c r="M16" s="47">
        <f t="shared" si="9"/>
        <v>0</v>
      </c>
      <c r="N16" s="35">
        <v>0</v>
      </c>
      <c r="O16" s="50">
        <f t="shared" si="10"/>
        <v>0</v>
      </c>
      <c r="P16" s="20"/>
      <c r="Q16" s="63">
        <f t="shared" si="11"/>
        <v>1.1833333333333333</v>
      </c>
      <c r="R16" s="69">
        <f t="shared" si="14"/>
        <v>3.6113333333333335</v>
      </c>
      <c r="S16" s="72">
        <f t="shared" si="12"/>
        <v>0.72226666666666683</v>
      </c>
      <c r="T16" s="47">
        <f t="shared" si="15"/>
        <v>3.6113333333333344</v>
      </c>
      <c r="U16" s="50">
        <f t="shared" si="16"/>
        <v>26.162500000000001</v>
      </c>
      <c r="V16" s="55"/>
      <c r="X16" s="129" t="s">
        <v>119</v>
      </c>
      <c r="Y16" s="134">
        <v>24</v>
      </c>
      <c r="Z16" t="s">
        <v>120</v>
      </c>
      <c r="AC16" s="120">
        <v>502</v>
      </c>
      <c r="AD16" s="182" t="s">
        <v>131</v>
      </c>
      <c r="AE16" s="183"/>
      <c r="AF16" s="183"/>
      <c r="AG16" s="183"/>
      <c r="AH16" s="184"/>
      <c r="AM16" s="120"/>
      <c r="AN16" s="120"/>
      <c r="AO16" s="120"/>
      <c r="AP16" s="120"/>
      <c r="AR16" s="84">
        <f t="shared" si="3"/>
        <v>35.5</v>
      </c>
      <c r="AS16" s="84">
        <f t="shared" si="4"/>
        <v>26.981333333333332</v>
      </c>
      <c r="AT16" s="84">
        <f t="shared" si="5"/>
        <v>-8.5186666666666682</v>
      </c>
      <c r="AU16" s="84">
        <v>10</v>
      </c>
      <c r="AV16" s="83">
        <f t="shared" si="0"/>
        <v>11.833333333333334</v>
      </c>
      <c r="AW16" s="83">
        <f t="shared" si="1"/>
        <v>15.147999999999998</v>
      </c>
      <c r="AX16" s="83">
        <f t="shared" si="2"/>
        <v>25.768500000000003</v>
      </c>
    </row>
    <row r="17" spans="2:50" x14ac:dyDescent="0.2">
      <c r="B17" s="20">
        <v>7</v>
      </c>
      <c r="C17" s="24" t="s">
        <v>2</v>
      </c>
      <c r="D17" s="21">
        <v>8</v>
      </c>
      <c r="E17" s="53">
        <f t="shared" si="13"/>
        <v>3.9319999999999995</v>
      </c>
      <c r="F17" s="43">
        <v>9</v>
      </c>
      <c r="G17" s="47">
        <f t="shared" si="6"/>
        <v>3.4919999999999995</v>
      </c>
      <c r="H17" s="35">
        <v>3</v>
      </c>
      <c r="I17" s="47">
        <f t="shared" si="7"/>
        <v>0.24</v>
      </c>
      <c r="J17" s="35">
        <v>2</v>
      </c>
      <c r="K17" s="47">
        <f t="shared" si="8"/>
        <v>0.2</v>
      </c>
      <c r="L17" s="35">
        <v>20</v>
      </c>
      <c r="M17" s="47">
        <f t="shared" si="9"/>
        <v>0</v>
      </c>
      <c r="N17" s="35">
        <v>0</v>
      </c>
      <c r="O17" s="50">
        <f t="shared" si="10"/>
        <v>0</v>
      </c>
      <c r="P17" s="20"/>
      <c r="Q17" s="63">
        <f t="shared" si="11"/>
        <v>1.1833333333333333</v>
      </c>
      <c r="R17" s="69">
        <f t="shared" si="14"/>
        <v>5.1153333333333331</v>
      </c>
      <c r="S17" s="72">
        <f t="shared" si="12"/>
        <v>1</v>
      </c>
      <c r="T17" s="47">
        <f t="shared" si="15"/>
        <v>5</v>
      </c>
      <c r="U17" s="50">
        <f t="shared" si="16"/>
        <v>26.047166666666669</v>
      </c>
      <c r="V17" s="55"/>
      <c r="X17" s="129" t="s">
        <v>123</v>
      </c>
      <c r="Y17" s="124">
        <f>((Y16/60)*AN3*AN4/1000)</f>
        <v>75.27600000000001</v>
      </c>
      <c r="Z17" t="s">
        <v>15</v>
      </c>
      <c r="AC17" s="120">
        <v>504</v>
      </c>
      <c r="AD17" s="182" t="s">
        <v>133</v>
      </c>
      <c r="AE17" s="183"/>
      <c r="AF17" s="183"/>
      <c r="AG17" s="183"/>
      <c r="AH17" s="184"/>
      <c r="AM17" s="120" t="s">
        <v>156</v>
      </c>
      <c r="AN17" s="120">
        <v>70</v>
      </c>
      <c r="AO17" s="120">
        <v>110</v>
      </c>
      <c r="AP17" s="120">
        <f>IF(Y29&gt;AO17,0,IF(Y29&gt;AN17,1,2))</f>
        <v>2</v>
      </c>
      <c r="AR17" s="84">
        <f t="shared" si="3"/>
        <v>39.049999999999997</v>
      </c>
      <c r="AS17" s="84">
        <f t="shared" si="4"/>
        <v>32.368666666666662</v>
      </c>
      <c r="AT17" s="84">
        <f t="shared" si="5"/>
        <v>-6.6813333333333347</v>
      </c>
      <c r="AU17" s="84">
        <v>11</v>
      </c>
      <c r="AV17" s="83">
        <f t="shared" si="0"/>
        <v>13.016666666666667</v>
      </c>
      <c r="AW17" s="83">
        <f t="shared" si="1"/>
        <v>19.351999999999997</v>
      </c>
      <c r="AX17" s="83">
        <f t="shared" si="2"/>
        <v>25.381166666666669</v>
      </c>
    </row>
    <row r="18" spans="2:50" ht="15" x14ac:dyDescent="0.25">
      <c r="B18" s="20">
        <v>8</v>
      </c>
      <c r="C18" s="24" t="s">
        <v>2</v>
      </c>
      <c r="D18" s="21">
        <v>9</v>
      </c>
      <c r="E18" s="53">
        <f t="shared" si="13"/>
        <v>4.2160000000000002</v>
      </c>
      <c r="F18" s="43">
        <v>7</v>
      </c>
      <c r="G18" s="47">
        <f t="shared" si="6"/>
        <v>2.7160000000000002</v>
      </c>
      <c r="H18" s="35">
        <v>15</v>
      </c>
      <c r="I18" s="47">
        <f t="shared" si="7"/>
        <v>1.2</v>
      </c>
      <c r="J18" s="35">
        <v>3</v>
      </c>
      <c r="K18" s="47">
        <f t="shared" si="8"/>
        <v>0.3</v>
      </c>
      <c r="L18" s="35">
        <v>0</v>
      </c>
      <c r="M18" s="47">
        <f t="shared" si="9"/>
        <v>0</v>
      </c>
      <c r="N18" s="35">
        <v>0</v>
      </c>
      <c r="O18" s="50">
        <f t="shared" si="10"/>
        <v>0</v>
      </c>
      <c r="P18" s="20"/>
      <c r="Q18" s="63">
        <f t="shared" si="11"/>
        <v>1.1833333333333333</v>
      </c>
      <c r="R18" s="69">
        <f t="shared" si="14"/>
        <v>5.3993333333333338</v>
      </c>
      <c r="S18" s="72">
        <f t="shared" si="12"/>
        <v>1</v>
      </c>
      <c r="T18" s="47">
        <f t="shared" si="15"/>
        <v>5</v>
      </c>
      <c r="U18" s="50">
        <f t="shared" si="16"/>
        <v>25.647833333333335</v>
      </c>
      <c r="V18" s="55"/>
      <c r="X18" s="133"/>
      <c r="Y18" s="2"/>
      <c r="AC18" s="120">
        <v>752</v>
      </c>
      <c r="AD18" s="182" t="s">
        <v>135</v>
      </c>
      <c r="AE18" s="183"/>
      <c r="AF18" s="183"/>
      <c r="AG18" s="183"/>
      <c r="AH18" s="184"/>
      <c r="AM18" s="120" t="s">
        <v>158</v>
      </c>
      <c r="AN18" s="120">
        <v>53</v>
      </c>
      <c r="AO18" s="120">
        <v>51</v>
      </c>
      <c r="AP18" s="120">
        <f>IF(Y30&lt;AO18,0,IF(Y30&lt;AN18,1,2))</f>
        <v>2</v>
      </c>
      <c r="AR18" s="84">
        <f t="shared" si="3"/>
        <v>42.599999999999994</v>
      </c>
      <c r="AS18" s="84">
        <f t="shared" si="4"/>
        <v>38.279999999999994</v>
      </c>
      <c r="AT18" s="84">
        <f t="shared" si="5"/>
        <v>-4.32</v>
      </c>
      <c r="AU18" s="84">
        <v>12</v>
      </c>
      <c r="AV18" s="83">
        <f t="shared" si="0"/>
        <v>14.200000000000001</v>
      </c>
      <c r="AW18" s="83">
        <f t="shared" si="1"/>
        <v>24.08</v>
      </c>
      <c r="AX18" s="83">
        <f t="shared" si="2"/>
        <v>24.469833333333334</v>
      </c>
    </row>
    <row r="19" spans="2:50" ht="15" x14ac:dyDescent="0.25">
      <c r="B19" s="20">
        <v>9</v>
      </c>
      <c r="C19" s="24" t="s">
        <v>2</v>
      </c>
      <c r="D19" s="21">
        <v>10</v>
      </c>
      <c r="E19" s="53">
        <f t="shared" si="13"/>
        <v>3.6960000000000002</v>
      </c>
      <c r="F19" s="43">
        <v>7</v>
      </c>
      <c r="G19" s="47">
        <f t="shared" si="6"/>
        <v>2.7160000000000002</v>
      </c>
      <c r="H19" s="35">
        <v>6</v>
      </c>
      <c r="I19" s="47">
        <f t="shared" si="7"/>
        <v>0.48</v>
      </c>
      <c r="J19" s="35">
        <v>5</v>
      </c>
      <c r="K19" s="47">
        <f t="shared" si="8"/>
        <v>0.5</v>
      </c>
      <c r="L19" s="35">
        <v>0</v>
      </c>
      <c r="M19" s="47">
        <f t="shared" si="9"/>
        <v>0</v>
      </c>
      <c r="N19" s="35">
        <v>0</v>
      </c>
      <c r="O19" s="50">
        <f t="shared" si="10"/>
        <v>0</v>
      </c>
      <c r="P19" s="20"/>
      <c r="Q19" s="63">
        <f t="shared" si="11"/>
        <v>1.1833333333333333</v>
      </c>
      <c r="R19" s="69">
        <f t="shared" si="14"/>
        <v>4.8793333333333333</v>
      </c>
      <c r="S19" s="72">
        <f t="shared" si="12"/>
        <v>1</v>
      </c>
      <c r="T19" s="47">
        <f t="shared" si="15"/>
        <v>5</v>
      </c>
      <c r="U19" s="50">
        <f t="shared" si="16"/>
        <v>25.768500000000003</v>
      </c>
      <c r="V19" s="55"/>
      <c r="X19" s="133" t="s">
        <v>137</v>
      </c>
      <c r="Y19" s="124">
        <f xml:space="preserve"> Y25</f>
        <v>24</v>
      </c>
      <c r="Z19" s="135" t="s">
        <v>120</v>
      </c>
      <c r="AC19" s="120">
        <v>754</v>
      </c>
      <c r="AD19" s="182" t="s">
        <v>138</v>
      </c>
      <c r="AE19" s="183"/>
      <c r="AF19" s="183"/>
      <c r="AG19" s="183"/>
      <c r="AH19" s="184"/>
      <c r="AR19" s="84">
        <f t="shared" si="3"/>
        <v>46.149999999999991</v>
      </c>
      <c r="AS19" s="84">
        <f t="shared" si="4"/>
        <v>43.155333333333324</v>
      </c>
      <c r="AT19" s="84">
        <f t="shared" si="5"/>
        <v>-2.9946666666666673</v>
      </c>
      <c r="AU19" s="84">
        <v>13</v>
      </c>
      <c r="AV19" s="83">
        <f t="shared" si="0"/>
        <v>15.383333333333335</v>
      </c>
      <c r="AW19" s="83">
        <f t="shared" si="1"/>
        <v>27.771999999999998</v>
      </c>
      <c r="AX19" s="83">
        <f t="shared" si="2"/>
        <v>24.5945</v>
      </c>
    </row>
    <row r="20" spans="2:50" ht="15" x14ac:dyDescent="0.25">
      <c r="B20" s="20">
        <v>10</v>
      </c>
      <c r="C20" s="24" t="s">
        <v>2</v>
      </c>
      <c r="D20" s="21">
        <v>11</v>
      </c>
      <c r="E20" s="53">
        <f t="shared" si="13"/>
        <v>4.2039999999999997</v>
      </c>
      <c r="F20" s="43">
        <v>8</v>
      </c>
      <c r="G20" s="47">
        <f t="shared" si="6"/>
        <v>3.1039999999999996</v>
      </c>
      <c r="H20" s="35">
        <v>5</v>
      </c>
      <c r="I20" s="47">
        <f t="shared" si="7"/>
        <v>0.4</v>
      </c>
      <c r="J20" s="35">
        <v>7</v>
      </c>
      <c r="K20" s="47">
        <f t="shared" si="8"/>
        <v>0.70000000000000007</v>
      </c>
      <c r="L20" s="35">
        <v>20</v>
      </c>
      <c r="M20" s="47">
        <f t="shared" si="9"/>
        <v>0</v>
      </c>
      <c r="N20" s="35">
        <v>0</v>
      </c>
      <c r="O20" s="50">
        <f t="shared" si="10"/>
        <v>0</v>
      </c>
      <c r="P20" s="20"/>
      <c r="Q20" s="63">
        <f t="shared" si="11"/>
        <v>1.1833333333333333</v>
      </c>
      <c r="R20" s="69">
        <f t="shared" si="14"/>
        <v>5.3873333333333333</v>
      </c>
      <c r="S20" s="72">
        <f t="shared" si="12"/>
        <v>1</v>
      </c>
      <c r="T20" s="47">
        <f t="shared" si="15"/>
        <v>5</v>
      </c>
      <c r="U20" s="50">
        <f t="shared" si="16"/>
        <v>25.381166666666669</v>
      </c>
      <c r="V20" s="55"/>
      <c r="X20" s="129"/>
      <c r="Y20" s="2"/>
      <c r="AC20" s="120">
        <v>756</v>
      </c>
      <c r="AD20" s="182" t="s">
        <v>139</v>
      </c>
      <c r="AE20" s="183"/>
      <c r="AF20" s="183"/>
      <c r="AG20" s="183"/>
      <c r="AH20" s="184"/>
      <c r="AM20" s="123" t="s">
        <v>162</v>
      </c>
      <c r="AR20" s="84">
        <f t="shared" si="3"/>
        <v>49.699999999999989</v>
      </c>
      <c r="AS20" s="84">
        <f t="shared" si="4"/>
        <v>46.134666666666661</v>
      </c>
      <c r="AT20" s="84">
        <f t="shared" si="5"/>
        <v>-3.5653333333333279</v>
      </c>
      <c r="AU20" s="84">
        <v>14</v>
      </c>
      <c r="AV20" s="83">
        <f t="shared" si="0"/>
        <v>16.566666666666666</v>
      </c>
      <c r="AW20" s="83">
        <f t="shared" si="1"/>
        <v>29.567999999999998</v>
      </c>
      <c r="AX20" s="83">
        <f t="shared" si="2"/>
        <v>26.162500000000001</v>
      </c>
    </row>
    <row r="21" spans="2:50" ht="15" x14ac:dyDescent="0.25">
      <c r="B21" s="20">
        <v>11</v>
      </c>
      <c r="C21" s="24" t="s">
        <v>2</v>
      </c>
      <c r="D21" s="21">
        <v>12</v>
      </c>
      <c r="E21" s="53">
        <f t="shared" si="13"/>
        <v>4.7279999999999998</v>
      </c>
      <c r="F21" s="43">
        <v>6</v>
      </c>
      <c r="G21" s="47">
        <f t="shared" si="6"/>
        <v>2.3279999999999998</v>
      </c>
      <c r="H21" s="35">
        <v>10</v>
      </c>
      <c r="I21" s="47">
        <f t="shared" si="7"/>
        <v>0.8</v>
      </c>
      <c r="J21" s="35">
        <v>16</v>
      </c>
      <c r="K21" s="47">
        <f t="shared" si="8"/>
        <v>1.6</v>
      </c>
      <c r="L21" s="35">
        <v>20</v>
      </c>
      <c r="M21" s="47">
        <f t="shared" si="9"/>
        <v>0</v>
      </c>
      <c r="N21" s="35">
        <v>0</v>
      </c>
      <c r="O21" s="50">
        <f t="shared" si="10"/>
        <v>0</v>
      </c>
      <c r="P21" s="20"/>
      <c r="Q21" s="63">
        <f t="shared" si="11"/>
        <v>1.1833333333333333</v>
      </c>
      <c r="R21" s="69">
        <f t="shared" si="14"/>
        <v>5.9113333333333333</v>
      </c>
      <c r="S21" s="72">
        <f t="shared" si="12"/>
        <v>1</v>
      </c>
      <c r="T21" s="47">
        <f t="shared" si="15"/>
        <v>5</v>
      </c>
      <c r="U21" s="50">
        <f t="shared" si="16"/>
        <v>24.469833333333334</v>
      </c>
      <c r="V21" s="55"/>
      <c r="X21" s="133" t="s">
        <v>140</v>
      </c>
      <c r="Y21" s="2"/>
      <c r="AH21" s="130"/>
      <c r="AM21" s="123" t="s">
        <v>147</v>
      </c>
      <c r="AR21" s="84">
        <f t="shared" si="3"/>
        <v>53.249999999999986</v>
      </c>
      <c r="AS21" s="84">
        <f t="shared" si="4"/>
        <v>48.913999999999994</v>
      </c>
      <c r="AT21" s="84">
        <f t="shared" si="5"/>
        <v>-4.3359999999999914</v>
      </c>
      <c r="AU21" s="84">
        <v>15</v>
      </c>
      <c r="AV21" s="83">
        <f t="shared" si="0"/>
        <v>17.75</v>
      </c>
      <c r="AW21" s="83">
        <f t="shared" si="1"/>
        <v>31.163999999999998</v>
      </c>
      <c r="AX21" s="83">
        <f t="shared" si="2"/>
        <v>26.162500000000001</v>
      </c>
    </row>
    <row r="22" spans="2:50" ht="15" x14ac:dyDescent="0.25">
      <c r="B22" s="20">
        <v>12</v>
      </c>
      <c r="C22" s="24" t="s">
        <v>2</v>
      </c>
      <c r="D22" s="21">
        <v>13</v>
      </c>
      <c r="E22" s="53">
        <f t="shared" si="13"/>
        <v>3.6919999999999997</v>
      </c>
      <c r="F22" s="43">
        <v>4</v>
      </c>
      <c r="G22" s="47">
        <f t="shared" si="6"/>
        <v>1.5519999999999998</v>
      </c>
      <c r="H22" s="35">
        <v>8</v>
      </c>
      <c r="I22" s="47">
        <f t="shared" si="7"/>
        <v>0.64</v>
      </c>
      <c r="J22" s="35">
        <v>15</v>
      </c>
      <c r="K22" s="47">
        <f t="shared" si="8"/>
        <v>1.5</v>
      </c>
      <c r="L22" s="35">
        <v>20</v>
      </c>
      <c r="M22" s="47">
        <f t="shared" si="9"/>
        <v>0</v>
      </c>
      <c r="N22" s="35">
        <v>0</v>
      </c>
      <c r="O22" s="50">
        <f t="shared" si="10"/>
        <v>0</v>
      </c>
      <c r="P22" s="20"/>
      <c r="Q22" s="63">
        <f t="shared" si="11"/>
        <v>1.1833333333333333</v>
      </c>
      <c r="R22" s="69">
        <f t="shared" si="14"/>
        <v>4.8753333333333329</v>
      </c>
      <c r="S22" s="72">
        <f t="shared" si="12"/>
        <v>1</v>
      </c>
      <c r="T22" s="47">
        <f t="shared" si="15"/>
        <v>5</v>
      </c>
      <c r="U22" s="50">
        <f t="shared" si="16"/>
        <v>24.5945</v>
      </c>
      <c r="V22" s="55"/>
      <c r="X22" s="129" t="s">
        <v>141</v>
      </c>
      <c r="Y22" s="134" t="s">
        <v>161</v>
      </c>
      <c r="Z22" t="s">
        <v>176</v>
      </c>
      <c r="AH22" s="130"/>
      <c r="AM22" s="123" t="s">
        <v>166</v>
      </c>
      <c r="AR22" s="84">
        <f t="shared" si="3"/>
        <v>56.799999999999983</v>
      </c>
      <c r="AS22" s="84">
        <f t="shared" si="4"/>
        <v>52.301333333333325</v>
      </c>
      <c r="AT22" s="84">
        <f t="shared" si="5"/>
        <v>-4.4986666666666579</v>
      </c>
      <c r="AU22" s="84">
        <v>16</v>
      </c>
      <c r="AV22" s="83">
        <f t="shared" si="0"/>
        <v>18.933333333333334</v>
      </c>
      <c r="AW22" s="83">
        <f t="shared" si="1"/>
        <v>33.367999999999995</v>
      </c>
      <c r="AX22" s="83">
        <f t="shared" si="2"/>
        <v>26.162500000000001</v>
      </c>
    </row>
    <row r="23" spans="2:50" x14ac:dyDescent="0.2">
      <c r="B23" s="20">
        <v>13</v>
      </c>
      <c r="C23" s="24" t="s">
        <v>2</v>
      </c>
      <c r="D23" s="21">
        <v>14</v>
      </c>
      <c r="E23" s="53">
        <f t="shared" si="13"/>
        <v>1.7959999999999998</v>
      </c>
      <c r="F23" s="43">
        <v>2</v>
      </c>
      <c r="G23" s="47">
        <f t="shared" si="6"/>
        <v>0.77599999999999991</v>
      </c>
      <c r="H23" s="35">
        <v>4</v>
      </c>
      <c r="I23" s="47">
        <f t="shared" si="7"/>
        <v>0.32</v>
      </c>
      <c r="J23" s="35">
        <v>7</v>
      </c>
      <c r="K23" s="47">
        <f t="shared" si="8"/>
        <v>0.70000000000000007</v>
      </c>
      <c r="L23" s="35">
        <v>0</v>
      </c>
      <c r="M23" s="47">
        <f t="shared" si="9"/>
        <v>0</v>
      </c>
      <c r="N23" s="35">
        <v>0</v>
      </c>
      <c r="O23" s="50">
        <f t="shared" si="10"/>
        <v>0</v>
      </c>
      <c r="P23" s="20"/>
      <c r="Q23" s="63">
        <f t="shared" si="11"/>
        <v>1.1833333333333333</v>
      </c>
      <c r="R23" s="69">
        <f t="shared" si="14"/>
        <v>2.9793333333333329</v>
      </c>
      <c r="S23" s="72">
        <f t="shared" si="12"/>
        <v>0.90946666666666687</v>
      </c>
      <c r="T23" s="47">
        <f t="shared" si="15"/>
        <v>4.5473333333333343</v>
      </c>
      <c r="U23" s="50">
        <f t="shared" si="16"/>
        <v>26.162500000000001</v>
      </c>
      <c r="V23" s="55"/>
      <c r="X23" s="129" t="s">
        <v>144</v>
      </c>
      <c r="Y23" s="134">
        <v>1</v>
      </c>
      <c r="Z23" t="s">
        <v>176</v>
      </c>
      <c r="AC23" t="s">
        <v>145</v>
      </c>
      <c r="AH23" s="130"/>
      <c r="AR23" s="84">
        <f t="shared" si="3"/>
        <v>60.34999999999998</v>
      </c>
      <c r="AS23" s="84">
        <f t="shared" si="4"/>
        <v>58.212666666666657</v>
      </c>
      <c r="AT23" s="84">
        <f t="shared" si="5"/>
        <v>-2.1373333333333235</v>
      </c>
      <c r="AU23" s="84">
        <v>17</v>
      </c>
      <c r="AV23" s="83">
        <f t="shared" si="0"/>
        <v>20.116666666666667</v>
      </c>
      <c r="AW23" s="83">
        <f t="shared" si="1"/>
        <v>38.095999999999997</v>
      </c>
      <c r="AX23" s="83">
        <f t="shared" si="2"/>
        <v>25.25116666666667</v>
      </c>
    </row>
    <row r="24" spans="2:50" x14ac:dyDescent="0.2">
      <c r="B24" s="20">
        <v>14</v>
      </c>
      <c r="C24" s="24" t="s">
        <v>2</v>
      </c>
      <c r="D24" s="21">
        <v>15</v>
      </c>
      <c r="E24" s="53">
        <f t="shared" si="13"/>
        <v>1.5959999999999999</v>
      </c>
      <c r="F24" s="43">
        <v>2</v>
      </c>
      <c r="G24" s="47">
        <f t="shared" si="6"/>
        <v>0.77599999999999991</v>
      </c>
      <c r="H24" s="35">
        <v>4</v>
      </c>
      <c r="I24" s="47">
        <f t="shared" si="7"/>
        <v>0.32</v>
      </c>
      <c r="J24" s="35">
        <v>5</v>
      </c>
      <c r="K24" s="47">
        <f t="shared" si="8"/>
        <v>0.5</v>
      </c>
      <c r="L24" s="35">
        <v>0</v>
      </c>
      <c r="M24" s="47">
        <f t="shared" si="9"/>
        <v>0</v>
      </c>
      <c r="N24" s="35">
        <v>0</v>
      </c>
      <c r="O24" s="50">
        <f t="shared" si="10"/>
        <v>0</v>
      </c>
      <c r="P24" s="20"/>
      <c r="Q24" s="63">
        <f t="shared" si="11"/>
        <v>1.1833333333333333</v>
      </c>
      <c r="R24" s="69">
        <f t="shared" si="14"/>
        <v>2.7793333333333332</v>
      </c>
      <c r="S24" s="72">
        <f t="shared" si="12"/>
        <v>0.55586666666666673</v>
      </c>
      <c r="T24" s="47">
        <f t="shared" si="15"/>
        <v>2.7793333333333337</v>
      </c>
      <c r="U24" s="50">
        <f t="shared" si="16"/>
        <v>26.162500000000001</v>
      </c>
      <c r="V24" s="55"/>
      <c r="X24" s="129" t="s">
        <v>148</v>
      </c>
      <c r="Y24" s="124">
        <f>MAX(Y13,Y17)</f>
        <v>75.27600000000001</v>
      </c>
      <c r="Z24" t="s">
        <v>15</v>
      </c>
      <c r="AC24" s="121"/>
      <c r="AD24" s="120" t="s">
        <v>149</v>
      </c>
      <c r="AE24" s="120" t="s">
        <v>150</v>
      </c>
      <c r="AF24" s="120" t="s">
        <v>151</v>
      </c>
      <c r="AG24" s="120" t="s">
        <v>152</v>
      </c>
      <c r="AH24" s="136" t="s">
        <v>153</v>
      </c>
      <c r="AR24" s="84">
        <f t="shared" si="3"/>
        <v>63.899999999999977</v>
      </c>
      <c r="AS24" s="84">
        <f t="shared" si="4"/>
        <v>66.355999999999995</v>
      </c>
      <c r="AT24" s="84">
        <f t="shared" si="5"/>
        <v>2.4560000000000173</v>
      </c>
      <c r="AU24" s="84">
        <v>18</v>
      </c>
      <c r="AV24" s="83">
        <f t="shared" si="0"/>
        <v>21.3</v>
      </c>
      <c r="AW24" s="83">
        <f t="shared" si="1"/>
        <v>45.055999999999997</v>
      </c>
      <c r="AX24" s="83">
        <f t="shared" si="2"/>
        <v>22.107833333333339</v>
      </c>
    </row>
    <row r="25" spans="2:50" x14ac:dyDescent="0.2">
      <c r="B25" s="20">
        <v>15</v>
      </c>
      <c r="C25" s="24" t="s">
        <v>2</v>
      </c>
      <c r="D25" s="21">
        <v>16</v>
      </c>
      <c r="E25" s="53">
        <f t="shared" si="13"/>
        <v>2.2039999999999997</v>
      </c>
      <c r="F25" s="43">
        <v>3</v>
      </c>
      <c r="G25" s="47">
        <f t="shared" si="6"/>
        <v>1.1639999999999999</v>
      </c>
      <c r="H25" s="35">
        <v>8</v>
      </c>
      <c r="I25" s="47">
        <f t="shared" si="7"/>
        <v>0.64</v>
      </c>
      <c r="J25" s="35">
        <v>4</v>
      </c>
      <c r="K25" s="47">
        <f t="shared" si="8"/>
        <v>0.4</v>
      </c>
      <c r="L25" s="35">
        <v>0</v>
      </c>
      <c r="M25" s="47">
        <f t="shared" si="9"/>
        <v>0</v>
      </c>
      <c r="N25" s="35">
        <v>0</v>
      </c>
      <c r="O25" s="50">
        <f t="shared" si="10"/>
        <v>0</v>
      </c>
      <c r="P25" s="20"/>
      <c r="Q25" s="63">
        <f t="shared" si="11"/>
        <v>1.1833333333333333</v>
      </c>
      <c r="R25" s="69">
        <f t="shared" si="14"/>
        <v>3.3873333333333333</v>
      </c>
      <c r="S25" s="72">
        <f t="shared" si="12"/>
        <v>0.67746666666666688</v>
      </c>
      <c r="T25" s="47">
        <f t="shared" si="15"/>
        <v>3.3873333333333342</v>
      </c>
      <c r="U25" s="50">
        <f t="shared" si="16"/>
        <v>26.162500000000001</v>
      </c>
      <c r="V25" s="55"/>
      <c r="X25" s="129" t="s">
        <v>154</v>
      </c>
      <c r="Y25" s="124">
        <f>MAX(Y12,Y16)</f>
        <v>24</v>
      </c>
      <c r="Z25" t="s">
        <v>120</v>
      </c>
      <c r="AC25" s="121"/>
      <c r="AD25" s="120" t="s">
        <v>120</v>
      </c>
      <c r="AE25" s="120" t="s">
        <v>155</v>
      </c>
      <c r="AF25" s="120" t="s">
        <v>122</v>
      </c>
      <c r="AG25" s="120" t="s">
        <v>15</v>
      </c>
      <c r="AH25" s="136" t="s">
        <v>15</v>
      </c>
      <c r="AR25" s="84">
        <f t="shared" si="3"/>
        <v>67.449999999999974</v>
      </c>
      <c r="AS25" s="84">
        <f t="shared" si="4"/>
        <v>71.871333333333325</v>
      </c>
      <c r="AT25" s="84">
        <f t="shared" si="5"/>
        <v>4.4213333333333509</v>
      </c>
      <c r="AU25" s="84">
        <v>19</v>
      </c>
      <c r="AV25" s="83">
        <f t="shared" si="0"/>
        <v>22.483333333333334</v>
      </c>
      <c r="AW25" s="83">
        <f t="shared" si="1"/>
        <v>49.387999999999998</v>
      </c>
      <c r="AX25" s="83">
        <f t="shared" si="2"/>
        <v>21.592500000000008</v>
      </c>
    </row>
    <row r="26" spans="2:50" x14ac:dyDescent="0.2">
      <c r="B26" s="20">
        <v>16</v>
      </c>
      <c r="C26" s="24" t="s">
        <v>2</v>
      </c>
      <c r="D26" s="21">
        <v>17</v>
      </c>
      <c r="E26" s="53">
        <f t="shared" si="13"/>
        <v>4.7279999999999998</v>
      </c>
      <c r="F26" s="43">
        <v>6</v>
      </c>
      <c r="G26" s="47">
        <f t="shared" si="6"/>
        <v>2.3279999999999998</v>
      </c>
      <c r="H26" s="35">
        <v>25</v>
      </c>
      <c r="I26" s="47">
        <f t="shared" si="7"/>
        <v>2</v>
      </c>
      <c r="J26" s="35">
        <v>4</v>
      </c>
      <c r="K26" s="47">
        <f t="shared" si="8"/>
        <v>0.4</v>
      </c>
      <c r="L26" s="35">
        <v>0</v>
      </c>
      <c r="M26" s="47">
        <f t="shared" si="9"/>
        <v>0</v>
      </c>
      <c r="N26" s="35">
        <v>100</v>
      </c>
      <c r="O26" s="50">
        <f t="shared" si="10"/>
        <v>0</v>
      </c>
      <c r="P26" s="20"/>
      <c r="Q26" s="63">
        <f t="shared" si="11"/>
        <v>1.1833333333333333</v>
      </c>
      <c r="R26" s="69">
        <f t="shared" si="14"/>
        <v>5.9113333333333333</v>
      </c>
      <c r="S26" s="72">
        <f t="shared" si="12"/>
        <v>1</v>
      </c>
      <c r="T26" s="47">
        <f t="shared" si="15"/>
        <v>5</v>
      </c>
      <c r="U26" s="50">
        <f t="shared" si="16"/>
        <v>25.25116666666667</v>
      </c>
      <c r="V26" s="55"/>
      <c r="X26" s="129" t="s">
        <v>157</v>
      </c>
      <c r="Y26" s="124">
        <f>Y25/Y23</f>
        <v>24</v>
      </c>
      <c r="Z26" t="s">
        <v>120</v>
      </c>
      <c r="AC26" s="121" t="s">
        <v>142</v>
      </c>
      <c r="AD26" s="122">
        <f t="shared" ref="AD26:AD31" si="17">$Y$26</f>
        <v>24</v>
      </c>
      <c r="AE26" s="122">
        <f xml:space="preserve"> 0.2657 *AD26^2+0.3114*AD26-1.6</f>
        <v>158.91679999999999</v>
      </c>
      <c r="AF26" s="122">
        <f xml:space="preserve"> -0.314*AD26 + 57.54</f>
        <v>50.003999999999998</v>
      </c>
      <c r="AG26" s="122">
        <f>2.44*AD26+7.6</f>
        <v>66.16</v>
      </c>
      <c r="AH26" s="136">
        <v>80</v>
      </c>
      <c r="AM26">
        <v>0.2</v>
      </c>
      <c r="AN26" t="s">
        <v>134</v>
      </c>
      <c r="AO26" t="s">
        <v>168</v>
      </c>
      <c r="AP26">
        <f>AM26*60</f>
        <v>12</v>
      </c>
      <c r="AR26" s="84">
        <f t="shared" si="3"/>
        <v>70.999999999999972</v>
      </c>
      <c r="AS26" s="84">
        <f t="shared" si="4"/>
        <v>76.550666666666658</v>
      </c>
      <c r="AT26" s="84">
        <f t="shared" si="5"/>
        <v>5.550666666666686</v>
      </c>
      <c r="AU26" s="84">
        <v>20</v>
      </c>
      <c r="AV26" s="83">
        <f t="shared" si="0"/>
        <v>23.666666666666668</v>
      </c>
      <c r="AW26" s="83">
        <f t="shared" si="1"/>
        <v>52.884</v>
      </c>
      <c r="AX26" s="83">
        <f t="shared" si="2"/>
        <v>21.913166666666676</v>
      </c>
    </row>
    <row r="27" spans="2:50" x14ac:dyDescent="0.2">
      <c r="B27" s="20">
        <v>17</v>
      </c>
      <c r="C27" s="24" t="s">
        <v>2</v>
      </c>
      <c r="D27" s="21">
        <v>18</v>
      </c>
      <c r="E27" s="53">
        <f t="shared" si="13"/>
        <v>6.9599999999999991</v>
      </c>
      <c r="F27" s="43">
        <v>15</v>
      </c>
      <c r="G27" s="47">
        <f t="shared" si="6"/>
        <v>5.8199999999999994</v>
      </c>
      <c r="H27" s="35">
        <v>8</v>
      </c>
      <c r="I27" s="47">
        <f t="shared" si="7"/>
        <v>0.64</v>
      </c>
      <c r="J27" s="35">
        <v>5</v>
      </c>
      <c r="K27" s="47">
        <f t="shared" si="8"/>
        <v>0.5</v>
      </c>
      <c r="L27" s="35">
        <v>0</v>
      </c>
      <c r="M27" s="47">
        <f t="shared" si="9"/>
        <v>0</v>
      </c>
      <c r="N27" s="35">
        <v>0</v>
      </c>
      <c r="O27" s="50">
        <f t="shared" si="10"/>
        <v>0</v>
      </c>
      <c r="P27" s="20"/>
      <c r="Q27" s="63">
        <f t="shared" si="11"/>
        <v>1.1833333333333333</v>
      </c>
      <c r="R27" s="69">
        <f t="shared" si="14"/>
        <v>8.1433333333333326</v>
      </c>
      <c r="S27" s="72">
        <f t="shared" si="12"/>
        <v>1</v>
      </c>
      <c r="T27" s="47">
        <f t="shared" si="15"/>
        <v>5</v>
      </c>
      <c r="U27" s="50">
        <f t="shared" si="16"/>
        <v>22.107833333333339</v>
      </c>
      <c r="V27" s="55"/>
      <c r="X27" s="129"/>
      <c r="Y27" s="2"/>
      <c r="AC27" s="121" t="s">
        <v>159</v>
      </c>
      <c r="AD27" s="122">
        <f t="shared" si="17"/>
        <v>24</v>
      </c>
      <c r="AE27" s="122">
        <f xml:space="preserve"> 0.2657 *AD27^2+0.3114*AD27-1.6</f>
        <v>158.91679999999999</v>
      </c>
      <c r="AF27" s="122">
        <f xml:space="preserve"> -0.314*AD27 + 57.54</f>
        <v>50.003999999999998</v>
      </c>
      <c r="AG27" s="122">
        <f>2.44*AD27+7.6</f>
        <v>66.16</v>
      </c>
      <c r="AH27" s="136">
        <v>80</v>
      </c>
      <c r="AM27">
        <v>0.3</v>
      </c>
      <c r="AN27" t="s">
        <v>134</v>
      </c>
      <c r="AO27" t="s">
        <v>169</v>
      </c>
      <c r="AP27">
        <f>AM27*60</f>
        <v>18</v>
      </c>
      <c r="AR27" s="84">
        <f t="shared" si="3"/>
        <v>74.549999999999969</v>
      </c>
      <c r="AS27" s="84">
        <f t="shared" si="4"/>
        <v>79.597999999999985</v>
      </c>
      <c r="AT27" s="84">
        <f t="shared" si="5"/>
        <v>5.048000000000016</v>
      </c>
      <c r="AU27" s="84">
        <v>21</v>
      </c>
      <c r="AV27" s="83">
        <f t="shared" si="0"/>
        <v>24.85</v>
      </c>
      <c r="AW27" s="83">
        <f t="shared" si="1"/>
        <v>54.747999999999998</v>
      </c>
      <c r="AX27" s="83">
        <f t="shared" si="2"/>
        <v>23.865833333333342</v>
      </c>
    </row>
    <row r="28" spans="2:50" ht="15" x14ac:dyDescent="0.25">
      <c r="B28" s="20">
        <v>18</v>
      </c>
      <c r="C28" s="24" t="s">
        <v>2</v>
      </c>
      <c r="D28" s="21">
        <v>19</v>
      </c>
      <c r="E28" s="53">
        <f t="shared" si="13"/>
        <v>4.331999999999999</v>
      </c>
      <c r="F28" s="43">
        <v>9</v>
      </c>
      <c r="G28" s="47">
        <f t="shared" si="6"/>
        <v>3.4919999999999995</v>
      </c>
      <c r="H28" s="35">
        <v>3</v>
      </c>
      <c r="I28" s="47">
        <f t="shared" si="7"/>
        <v>0.24</v>
      </c>
      <c r="J28" s="35">
        <v>6</v>
      </c>
      <c r="K28" s="47">
        <f t="shared" si="8"/>
        <v>0.6</v>
      </c>
      <c r="L28" s="35">
        <v>0</v>
      </c>
      <c r="M28" s="47">
        <f t="shared" si="9"/>
        <v>0</v>
      </c>
      <c r="N28" s="35">
        <v>0</v>
      </c>
      <c r="O28" s="50">
        <f t="shared" si="10"/>
        <v>0</v>
      </c>
      <c r="P28" s="20"/>
      <c r="Q28" s="63">
        <f t="shared" si="11"/>
        <v>1.1833333333333333</v>
      </c>
      <c r="R28" s="69">
        <f t="shared" si="14"/>
        <v>5.5153333333333325</v>
      </c>
      <c r="S28" s="72">
        <f t="shared" si="12"/>
        <v>1</v>
      </c>
      <c r="T28" s="47">
        <f t="shared" si="15"/>
        <v>5</v>
      </c>
      <c r="U28" s="50">
        <f t="shared" si="16"/>
        <v>21.592500000000008</v>
      </c>
      <c r="V28" s="55"/>
      <c r="X28" s="133" t="s">
        <v>160</v>
      </c>
      <c r="Y28" s="2"/>
      <c r="AC28" s="121" t="s">
        <v>161</v>
      </c>
      <c r="AD28" s="122">
        <f t="shared" si="17"/>
        <v>24</v>
      </c>
      <c r="AE28" s="122">
        <f xml:space="preserve"> 0.0629*AD28^2 + 0.3486*AD28 - 3.7714</f>
        <v>40.825399999999995</v>
      </c>
      <c r="AF28" s="122">
        <f xml:space="preserve"> -0.14*AD28 + 57.08</f>
        <v>53.72</v>
      </c>
      <c r="AG28" s="122">
        <f>2.66*AD28+9.2</f>
        <v>73.040000000000006</v>
      </c>
      <c r="AH28" s="136">
        <v>114</v>
      </c>
      <c r="AR28" s="84">
        <f t="shared" si="3"/>
        <v>78.099999999999966</v>
      </c>
      <c r="AS28" s="84">
        <f t="shared" si="4"/>
        <v>81.857333333333315</v>
      </c>
      <c r="AT28" s="84">
        <f t="shared" si="5"/>
        <v>3.7573333333333494</v>
      </c>
      <c r="AU28" s="84">
        <v>22</v>
      </c>
      <c r="AV28" s="83">
        <f t="shared" si="0"/>
        <v>26.033333333333335</v>
      </c>
      <c r="AW28" s="83">
        <f t="shared" si="1"/>
        <v>55.823999999999998</v>
      </c>
      <c r="AX28" s="83">
        <f t="shared" si="2"/>
        <v>26.162500000000001</v>
      </c>
    </row>
    <row r="29" spans="2:50" ht="15" x14ac:dyDescent="0.25">
      <c r="B29" s="20">
        <v>19</v>
      </c>
      <c r="C29" s="24" t="s">
        <v>2</v>
      </c>
      <c r="D29" s="21">
        <v>20</v>
      </c>
      <c r="E29" s="53">
        <f t="shared" si="13"/>
        <v>3.4960000000000004</v>
      </c>
      <c r="F29" s="43">
        <v>7</v>
      </c>
      <c r="G29" s="47">
        <f t="shared" si="6"/>
        <v>2.7160000000000002</v>
      </c>
      <c r="H29" s="35">
        <v>1</v>
      </c>
      <c r="I29" s="47">
        <f t="shared" si="7"/>
        <v>0.08</v>
      </c>
      <c r="J29" s="35">
        <v>7</v>
      </c>
      <c r="K29" s="47">
        <f t="shared" si="8"/>
        <v>0.70000000000000007</v>
      </c>
      <c r="L29" s="35">
        <v>0</v>
      </c>
      <c r="M29" s="47">
        <f t="shared" si="9"/>
        <v>0</v>
      </c>
      <c r="N29" s="35">
        <v>0</v>
      </c>
      <c r="O29" s="50">
        <f t="shared" si="10"/>
        <v>0</v>
      </c>
      <c r="P29" s="20"/>
      <c r="Q29" s="63">
        <f t="shared" si="11"/>
        <v>1.1833333333333333</v>
      </c>
      <c r="R29" s="69">
        <f t="shared" si="14"/>
        <v>4.679333333333334</v>
      </c>
      <c r="S29" s="72">
        <f t="shared" si="12"/>
        <v>1</v>
      </c>
      <c r="T29" s="47">
        <f t="shared" si="15"/>
        <v>5</v>
      </c>
      <c r="U29" s="50">
        <f t="shared" si="16"/>
        <v>21.913166666666676</v>
      </c>
      <c r="V29" s="55"/>
      <c r="X29" s="129" t="s">
        <v>163</v>
      </c>
      <c r="Y29" s="124">
        <f>VLOOKUP(Y22,AC26:AH31,3,FALSE)</f>
        <v>40.825399999999995</v>
      </c>
      <c r="Z29" t="s">
        <v>155</v>
      </c>
      <c r="AA29" s="137" t="str">
        <f>IF(AP17=2,AM20,IF(AP17=1,AM21,AM22))</f>
        <v xml:space="preserve">vyhovující </v>
      </c>
      <c r="AB29" s="2"/>
      <c r="AC29" s="121" t="s">
        <v>164</v>
      </c>
      <c r="AD29" s="122">
        <f t="shared" si="17"/>
        <v>24</v>
      </c>
      <c r="AE29" s="122">
        <f xml:space="preserve"> 0.2657 *AD29^2+0.3114*AD29-1.6</f>
        <v>158.91679999999999</v>
      </c>
      <c r="AF29" s="122">
        <f xml:space="preserve"> -0.314*AD29 + 57.54</f>
        <v>50.003999999999998</v>
      </c>
      <c r="AG29" s="122">
        <f>2.44*AD29+7.6</f>
        <v>66.16</v>
      </c>
      <c r="AH29" s="136">
        <v>80</v>
      </c>
      <c r="AM29" t="s">
        <v>170</v>
      </c>
      <c r="AR29" s="84">
        <f t="shared" si="3"/>
        <v>81.649999999999963</v>
      </c>
      <c r="AS29" s="84">
        <f t="shared" si="4"/>
        <v>83.528666666666652</v>
      </c>
      <c r="AT29" s="84">
        <f t="shared" si="5"/>
        <v>1.8786666666666889</v>
      </c>
      <c r="AU29" s="84">
        <v>23</v>
      </c>
      <c r="AV29" s="83">
        <f t="shared" si="0"/>
        <v>27.216666666666669</v>
      </c>
      <c r="AW29" s="83">
        <f t="shared" si="1"/>
        <v>56.311999999999998</v>
      </c>
      <c r="AX29" s="83">
        <f t="shared" si="2"/>
        <v>26.162500000000001</v>
      </c>
    </row>
    <row r="30" spans="2:50" ht="15" x14ac:dyDescent="0.25">
      <c r="B30" s="20">
        <v>20</v>
      </c>
      <c r="C30" s="24" t="s">
        <v>2</v>
      </c>
      <c r="D30" s="21">
        <v>21</v>
      </c>
      <c r="E30" s="53">
        <f t="shared" si="13"/>
        <v>1.8639999999999999</v>
      </c>
      <c r="F30" s="43">
        <v>3</v>
      </c>
      <c r="G30" s="47">
        <f t="shared" si="6"/>
        <v>1.1639999999999999</v>
      </c>
      <c r="H30" s="35">
        <v>0</v>
      </c>
      <c r="I30" s="47">
        <f t="shared" si="7"/>
        <v>0</v>
      </c>
      <c r="J30" s="35">
        <v>7</v>
      </c>
      <c r="K30" s="47">
        <f t="shared" si="8"/>
        <v>0.70000000000000007</v>
      </c>
      <c r="L30" s="35">
        <v>0</v>
      </c>
      <c r="M30" s="47">
        <f t="shared" si="9"/>
        <v>0</v>
      </c>
      <c r="N30" s="35">
        <v>0</v>
      </c>
      <c r="O30" s="50">
        <f t="shared" si="10"/>
        <v>0</v>
      </c>
      <c r="P30" s="20"/>
      <c r="Q30" s="63">
        <f t="shared" si="11"/>
        <v>1.1833333333333333</v>
      </c>
      <c r="R30" s="69">
        <f t="shared" si="14"/>
        <v>3.0473333333333334</v>
      </c>
      <c r="S30" s="72">
        <f t="shared" si="12"/>
        <v>1</v>
      </c>
      <c r="T30" s="47">
        <f t="shared" si="15"/>
        <v>5</v>
      </c>
      <c r="U30" s="50">
        <f t="shared" si="16"/>
        <v>23.865833333333342</v>
      </c>
      <c r="V30" s="55"/>
      <c r="X30" s="129" t="s">
        <v>165</v>
      </c>
      <c r="Y30" s="124">
        <f>VLOOKUP(Y22,AC26:AH31,4,FALSE)</f>
        <v>53.72</v>
      </c>
      <c r="Z30" t="s">
        <v>122</v>
      </c>
      <c r="AA30" s="137" t="str">
        <f>IF(AP18=2,AM20,IF(AP18=1,AM21,AM22))</f>
        <v xml:space="preserve">vyhovující </v>
      </c>
      <c r="AB30" s="2"/>
      <c r="AC30" s="121" t="s">
        <v>177</v>
      </c>
      <c r="AD30" s="122">
        <f t="shared" si="17"/>
        <v>24</v>
      </c>
      <c r="AE30" s="122">
        <f xml:space="preserve"> 0.0629*AD30^2 + 0.3486*AD30 - 3.7714</f>
        <v>40.825399999999995</v>
      </c>
      <c r="AF30" s="122">
        <f xml:space="preserve"> -0.14*AD30 + 57.08</f>
        <v>53.72</v>
      </c>
      <c r="AG30" s="122">
        <f>2.66*AD30+9.2</f>
        <v>73.040000000000006</v>
      </c>
      <c r="AH30" s="136">
        <v>114</v>
      </c>
      <c r="AM30" t="s">
        <v>171</v>
      </c>
      <c r="AO30">
        <v>55</v>
      </c>
      <c r="AR30" s="84">
        <f t="shared" si="3"/>
        <v>85.19999999999996</v>
      </c>
      <c r="AS30" s="84">
        <f t="shared" si="4"/>
        <v>85.199999999999989</v>
      </c>
      <c r="AT30" s="84">
        <f t="shared" si="5"/>
        <v>0</v>
      </c>
      <c r="AU30" s="84">
        <v>24</v>
      </c>
      <c r="AV30" s="83">
        <f t="shared" si="0"/>
        <v>28.400000000000002</v>
      </c>
      <c r="AW30" s="83">
        <f t="shared" si="1"/>
        <v>56.8</v>
      </c>
      <c r="AX30" s="83">
        <f t="shared" si="2"/>
        <v>26.162500000000001</v>
      </c>
    </row>
    <row r="31" spans="2:50" ht="13.5" thickBot="1" x14ac:dyDescent="0.25">
      <c r="B31" s="20">
        <v>21</v>
      </c>
      <c r="C31" s="24" t="s">
        <v>2</v>
      </c>
      <c r="D31" s="21">
        <v>22</v>
      </c>
      <c r="E31" s="53">
        <f t="shared" si="13"/>
        <v>1.0759999999999998</v>
      </c>
      <c r="F31" s="43">
        <v>2</v>
      </c>
      <c r="G31" s="47">
        <f t="shared" si="6"/>
        <v>0.77599999999999991</v>
      </c>
      <c r="H31" s="35">
        <v>0</v>
      </c>
      <c r="I31" s="47">
        <f t="shared" si="7"/>
        <v>0</v>
      </c>
      <c r="J31" s="35">
        <v>3</v>
      </c>
      <c r="K31" s="47">
        <f t="shared" si="8"/>
        <v>0.3</v>
      </c>
      <c r="L31" s="35">
        <v>0</v>
      </c>
      <c r="M31" s="47">
        <f t="shared" si="9"/>
        <v>0</v>
      </c>
      <c r="N31" s="35">
        <v>0</v>
      </c>
      <c r="O31" s="50">
        <f t="shared" si="10"/>
        <v>0</v>
      </c>
      <c r="P31" s="20"/>
      <c r="Q31" s="63">
        <f t="shared" si="11"/>
        <v>1.1833333333333333</v>
      </c>
      <c r="R31" s="69">
        <f t="shared" si="14"/>
        <v>2.2593333333333332</v>
      </c>
      <c r="S31" s="72">
        <f t="shared" si="12"/>
        <v>0.91119999999999879</v>
      </c>
      <c r="T31" s="47">
        <f t="shared" si="15"/>
        <v>4.5559999999999938</v>
      </c>
      <c r="U31" s="50">
        <f t="shared" si="16"/>
        <v>26.162500000000001</v>
      </c>
      <c r="V31" s="55"/>
      <c r="X31" s="138" t="s">
        <v>167</v>
      </c>
      <c r="Y31" s="139">
        <f>VLOOKUP(Y22,AC26:AH31,5,FALSE)</f>
        <v>73.040000000000006</v>
      </c>
      <c r="Z31" s="140" t="s">
        <v>15</v>
      </c>
      <c r="AA31" s="16"/>
      <c r="AB31" s="16"/>
      <c r="AC31" s="141" t="s">
        <v>178</v>
      </c>
      <c r="AD31" s="142">
        <f t="shared" si="17"/>
        <v>24</v>
      </c>
      <c r="AE31" s="142">
        <f xml:space="preserve"> 0.0475*AD31^2 - 1.585*AD31 + 33.95</f>
        <v>23.270000000000003</v>
      </c>
      <c r="AF31" s="142">
        <f xml:space="preserve"> -0.094*AD31 + 56.98</f>
        <v>54.723999999999997</v>
      </c>
      <c r="AG31" s="142">
        <f>2.6*AD31+15.5</f>
        <v>77.900000000000006</v>
      </c>
      <c r="AH31" s="10">
        <v>171</v>
      </c>
      <c r="AM31" t="s">
        <v>172</v>
      </c>
      <c r="AO31">
        <v>10</v>
      </c>
      <c r="AR31" s="85"/>
      <c r="AS31" s="85"/>
      <c r="AT31" s="85"/>
      <c r="AU31" s="85"/>
      <c r="AV31" s="85"/>
      <c r="AW31" s="85"/>
      <c r="AX31" s="85"/>
    </row>
    <row r="32" spans="2:50" x14ac:dyDescent="0.2">
      <c r="B32" s="20">
        <v>22</v>
      </c>
      <c r="C32" s="24" t="s">
        <v>2</v>
      </c>
      <c r="D32" s="21">
        <v>23</v>
      </c>
      <c r="E32" s="53">
        <f t="shared" si="13"/>
        <v>0.48799999999999999</v>
      </c>
      <c r="F32" s="43">
        <v>1</v>
      </c>
      <c r="G32" s="47">
        <f t="shared" si="6"/>
        <v>0.38799999999999996</v>
      </c>
      <c r="H32" s="35">
        <v>0</v>
      </c>
      <c r="I32" s="47">
        <f t="shared" si="7"/>
        <v>0</v>
      </c>
      <c r="J32" s="35">
        <v>1</v>
      </c>
      <c r="K32" s="47">
        <f t="shared" si="8"/>
        <v>0.1</v>
      </c>
      <c r="L32" s="35">
        <v>0</v>
      </c>
      <c r="M32" s="47">
        <f t="shared" si="9"/>
        <v>0</v>
      </c>
      <c r="N32" s="35">
        <v>0</v>
      </c>
      <c r="O32" s="50">
        <f t="shared" si="10"/>
        <v>0</v>
      </c>
      <c r="P32" s="20"/>
      <c r="Q32" s="63">
        <f t="shared" si="11"/>
        <v>1.1833333333333333</v>
      </c>
      <c r="R32" s="69">
        <f t="shared" si="14"/>
        <v>1.6713333333333333</v>
      </c>
      <c r="S32" s="72">
        <f t="shared" si="12"/>
        <v>0.3342666666666666</v>
      </c>
      <c r="T32" s="47">
        <f t="shared" si="15"/>
        <v>1.6713333333333331</v>
      </c>
      <c r="U32" s="50">
        <f t="shared" si="16"/>
        <v>26.162500000000001</v>
      </c>
      <c r="V32" s="55"/>
      <c r="AM32" t="s">
        <v>173</v>
      </c>
      <c r="AO32">
        <v>40</v>
      </c>
      <c r="AR32" s="85"/>
      <c r="AS32" s="85" t="s">
        <v>62</v>
      </c>
      <c r="AT32" s="84">
        <f>MIN(AT7:AT30)</f>
        <v>-13.323999999999996</v>
      </c>
      <c r="AU32" s="84"/>
      <c r="AV32" s="85"/>
      <c r="AW32" s="85"/>
      <c r="AX32" s="85"/>
    </row>
    <row r="33" spans="2:50" ht="13.5" thickBot="1" x14ac:dyDescent="0.25">
      <c r="B33" s="25">
        <v>23</v>
      </c>
      <c r="C33" s="26" t="s">
        <v>2</v>
      </c>
      <c r="D33" s="27">
        <v>24</v>
      </c>
      <c r="E33" s="54">
        <f t="shared" si="13"/>
        <v>0.48799999999999999</v>
      </c>
      <c r="F33" s="44">
        <v>1</v>
      </c>
      <c r="G33" s="48">
        <f t="shared" si="6"/>
        <v>0.38799999999999996</v>
      </c>
      <c r="H33" s="45">
        <v>0</v>
      </c>
      <c r="I33" s="48">
        <f t="shared" si="7"/>
        <v>0</v>
      </c>
      <c r="J33" s="45">
        <v>1</v>
      </c>
      <c r="K33" s="48">
        <f t="shared" si="8"/>
        <v>0.1</v>
      </c>
      <c r="L33" s="45">
        <v>0</v>
      </c>
      <c r="M33" s="48">
        <f t="shared" si="9"/>
        <v>0</v>
      </c>
      <c r="N33" s="45">
        <v>0</v>
      </c>
      <c r="O33" s="51">
        <f t="shared" si="10"/>
        <v>0</v>
      </c>
      <c r="P33" s="22"/>
      <c r="Q33" s="64">
        <f t="shared" si="11"/>
        <v>1.1833333333333333</v>
      </c>
      <c r="R33" s="70">
        <f t="shared" si="14"/>
        <v>1.6713333333333333</v>
      </c>
      <c r="S33" s="73">
        <f t="shared" si="12"/>
        <v>0.3342666666666666</v>
      </c>
      <c r="T33" s="48">
        <f t="shared" si="15"/>
        <v>1.6713333333333331</v>
      </c>
      <c r="U33" s="51">
        <f t="shared" si="16"/>
        <v>26.162500000000001</v>
      </c>
      <c r="AM33" t="s">
        <v>174</v>
      </c>
      <c r="AO33">
        <v>15</v>
      </c>
      <c r="AP33" t="s">
        <v>120</v>
      </c>
      <c r="AR33" s="85"/>
      <c r="AS33" s="85" t="s">
        <v>63</v>
      </c>
      <c r="AT33" s="84">
        <f>MAX(AT7:AT30)</f>
        <v>5.550666666666686</v>
      </c>
      <c r="AU33" s="84"/>
      <c r="AV33" s="85"/>
      <c r="AW33" s="85"/>
      <c r="AX33" s="85"/>
    </row>
    <row r="34" spans="2:50" x14ac:dyDescent="0.2">
      <c r="B34" s="28" t="s">
        <v>3</v>
      </c>
      <c r="C34" s="29"/>
      <c r="D34" s="33" t="s">
        <v>9</v>
      </c>
      <c r="E34" s="66"/>
      <c r="F34" s="40">
        <f>SUM(F10:F33)</f>
        <v>100</v>
      </c>
      <c r="G34" s="7"/>
      <c r="H34" s="41">
        <f>SUM(H10:H33)</f>
        <v>100</v>
      </c>
      <c r="I34" s="7"/>
      <c r="J34" s="41">
        <f>SUM(J10:J33)</f>
        <v>100</v>
      </c>
      <c r="K34" s="7"/>
      <c r="L34" s="41">
        <f>SUM(L10:L33)</f>
        <v>100</v>
      </c>
      <c r="M34" s="7"/>
      <c r="N34" s="41">
        <f>SUM(N10:N33)</f>
        <v>100</v>
      </c>
      <c r="O34" s="8"/>
      <c r="P34" s="57"/>
      <c r="Q34" s="61"/>
      <c r="R34" s="180">
        <f>SUM(R10:R33)</f>
        <v>85.199999999999989</v>
      </c>
      <c r="AT34" s="84">
        <f>AT33-AT32</f>
        <v>18.874666666666684</v>
      </c>
    </row>
    <row r="35" spans="2:50" ht="12.75" customHeight="1" thickBot="1" x14ac:dyDescent="0.25">
      <c r="B35" s="30"/>
      <c r="C35" s="31"/>
      <c r="D35" s="32" t="s">
        <v>10</v>
      </c>
      <c r="E35" s="65">
        <f>SUM(E10:E33)</f>
        <v>56.8</v>
      </c>
      <c r="F35" s="157">
        <f>uzi</f>
        <v>38.799999999999997</v>
      </c>
      <c r="G35" s="169"/>
      <c r="H35" s="156">
        <f>per</f>
        <v>8</v>
      </c>
      <c r="I35" s="157"/>
      <c r="J35" s="156">
        <f>gas</f>
        <v>10</v>
      </c>
      <c r="K35" s="157"/>
      <c r="L35" s="156">
        <f>ukl</f>
        <v>0</v>
      </c>
      <c r="M35" s="157"/>
      <c r="N35" s="156">
        <f>ost</f>
        <v>0</v>
      </c>
      <c r="O35" s="158"/>
      <c r="P35" s="178">
        <f>SUM(Q10:Q33)</f>
        <v>28.400000000000002</v>
      </c>
      <c r="Q35" s="179"/>
      <c r="R35" s="181"/>
      <c r="Y35" s="131"/>
    </row>
    <row r="36" spans="2:50" x14ac:dyDescent="0.2">
      <c r="Y36" s="131"/>
      <c r="AH36" s="2"/>
    </row>
    <row r="37" spans="2:50" x14ac:dyDescent="0.2">
      <c r="W37" s="85"/>
      <c r="X37" s="85"/>
      <c r="Y37" s="131"/>
      <c r="Z37" s="84"/>
      <c r="AB37" s="85"/>
      <c r="AC37" s="85"/>
    </row>
    <row r="38" spans="2:50" x14ac:dyDescent="0.2">
      <c r="Y38" s="131"/>
    </row>
    <row r="39" spans="2:50" x14ac:dyDescent="0.2">
      <c r="B39" t="s">
        <v>12</v>
      </c>
    </row>
    <row r="40" spans="2:50" x14ac:dyDescent="0.2">
      <c r="C40" t="s">
        <v>104</v>
      </c>
      <c r="G40" s="125">
        <f>spot/24</f>
        <v>3.5499999999999994</v>
      </c>
      <c r="H40" t="s">
        <v>15</v>
      </c>
      <c r="Y40" s="131"/>
    </row>
    <row r="41" spans="2:50" ht="14.25" x14ac:dyDescent="0.2">
      <c r="C41" t="s">
        <v>14</v>
      </c>
      <c r="G41" s="125">
        <f>J41*3600/4186/45</f>
        <v>0.36071985985029492</v>
      </c>
      <c r="H41" t="s">
        <v>16</v>
      </c>
      <c r="I41" s="38" t="s">
        <v>54</v>
      </c>
      <c r="J41" s="124">
        <f>AT34</f>
        <v>18.874666666666684</v>
      </c>
      <c r="K41" t="s">
        <v>10</v>
      </c>
      <c r="Y41" s="131"/>
    </row>
    <row r="42" spans="2:50" x14ac:dyDescent="0.2">
      <c r="B42" t="s">
        <v>13</v>
      </c>
      <c r="G42" s="38"/>
      <c r="I42" s="38"/>
    </row>
    <row r="43" spans="2:50" x14ac:dyDescent="0.2">
      <c r="C43" s="88" t="s">
        <v>104</v>
      </c>
      <c r="D43" s="88"/>
      <c r="E43" s="88"/>
      <c r="F43" s="88"/>
      <c r="G43" s="126">
        <v>5</v>
      </c>
      <c r="H43" s="88" t="s">
        <v>15</v>
      </c>
      <c r="I43" s="38"/>
    </row>
    <row r="44" spans="2:50" ht="14.25" x14ac:dyDescent="0.2">
      <c r="C44" s="88" t="s">
        <v>14</v>
      </c>
      <c r="D44" s="88"/>
      <c r="E44" s="88"/>
      <c r="F44" s="88"/>
      <c r="G44" s="126">
        <v>0.5</v>
      </c>
      <c r="H44" s="88" t="s">
        <v>78</v>
      </c>
      <c r="I44" s="38" t="s">
        <v>54</v>
      </c>
      <c r="J44" s="124">
        <f>G44*4186*45/3600</f>
        <v>26.162500000000001</v>
      </c>
      <c r="K44" t="s">
        <v>10</v>
      </c>
      <c r="Y44" s="131"/>
    </row>
    <row r="45" spans="2:50" x14ac:dyDescent="0.2">
      <c r="C45" t="s">
        <v>58</v>
      </c>
      <c r="G45" s="125">
        <f>aku</f>
        <v>26.162500000000001</v>
      </c>
      <c r="H45" t="s">
        <v>10</v>
      </c>
      <c r="I45" t="s">
        <v>105</v>
      </c>
      <c r="Y45" s="131"/>
    </row>
    <row r="46" spans="2:50" x14ac:dyDescent="0.2">
      <c r="C46" t="s">
        <v>81</v>
      </c>
      <c r="G46" s="125">
        <f>pot*3600/4186/45</f>
        <v>1.0855231724796941</v>
      </c>
      <c r="H46" t="s">
        <v>80</v>
      </c>
      <c r="Y46" s="131"/>
    </row>
    <row r="47" spans="2:50" x14ac:dyDescent="0.2">
      <c r="G47" s="38"/>
    </row>
    <row r="48" spans="2:50" x14ac:dyDescent="0.2">
      <c r="B48" s="3" t="s">
        <v>17</v>
      </c>
      <c r="I48" t="s">
        <v>106</v>
      </c>
    </row>
    <row r="49" spans="2:11" x14ac:dyDescent="0.2">
      <c r="B49" t="s">
        <v>41</v>
      </c>
      <c r="G49" s="39">
        <f>G50*J50+G51*J51+G52*J52+G53*J53+G54*J54</f>
        <v>38.799999999999997</v>
      </c>
      <c r="H49" t="s">
        <v>10</v>
      </c>
    </row>
    <row r="50" spans="2:11" x14ac:dyDescent="0.2">
      <c r="C50" t="s">
        <v>19</v>
      </c>
      <c r="G50" s="4">
        <v>8</v>
      </c>
      <c r="H50" t="s">
        <v>18</v>
      </c>
      <c r="I50" s="119">
        <f>J50*3600/4.186/45</f>
        <v>82.178690874343047</v>
      </c>
      <c r="J50">
        <v>4.3</v>
      </c>
      <c r="K50" t="s">
        <v>32</v>
      </c>
    </row>
    <row r="51" spans="2:11" x14ac:dyDescent="0.2">
      <c r="C51" t="s">
        <v>20</v>
      </c>
      <c r="G51" s="4">
        <v>0</v>
      </c>
      <c r="H51" t="s">
        <v>18</v>
      </c>
      <c r="I51" s="119">
        <f>J51*3600/4.186/45</f>
        <v>66.889632107023402</v>
      </c>
      <c r="J51">
        <v>3.5</v>
      </c>
      <c r="K51" t="s">
        <v>32</v>
      </c>
    </row>
    <row r="52" spans="2:11" x14ac:dyDescent="0.2">
      <c r="C52" t="s">
        <v>21</v>
      </c>
      <c r="G52" s="4">
        <v>0</v>
      </c>
      <c r="H52" t="s">
        <v>18</v>
      </c>
      <c r="I52" s="119">
        <f>J52*3600/4.186/45</f>
        <v>47.778308647873864</v>
      </c>
      <c r="J52">
        <v>2.5</v>
      </c>
      <c r="K52" t="s">
        <v>32</v>
      </c>
    </row>
    <row r="53" spans="2:11" x14ac:dyDescent="0.2">
      <c r="C53" t="s">
        <v>22</v>
      </c>
      <c r="G53" s="4">
        <v>0</v>
      </c>
      <c r="H53" t="s">
        <v>23</v>
      </c>
      <c r="I53" s="119">
        <f>J53*3600/4.186/45</f>
        <v>191.11323459149546</v>
      </c>
      <c r="J53">
        <v>10</v>
      </c>
      <c r="K53" t="s">
        <v>32</v>
      </c>
    </row>
    <row r="54" spans="2:11" x14ac:dyDescent="0.2">
      <c r="C54" t="s">
        <v>38</v>
      </c>
      <c r="G54" s="4">
        <v>2</v>
      </c>
      <c r="H54" t="s">
        <v>39</v>
      </c>
      <c r="I54" s="119">
        <v>42</v>
      </c>
      <c r="J54">
        <v>2.2000000000000002</v>
      </c>
      <c r="K54" t="s">
        <v>40</v>
      </c>
    </row>
    <row r="55" spans="2:11" x14ac:dyDescent="0.2">
      <c r="B55" t="s">
        <v>42</v>
      </c>
      <c r="G55" s="39">
        <f>G56*J56+G57*J57</f>
        <v>8</v>
      </c>
      <c r="H55" t="s">
        <v>10</v>
      </c>
      <c r="I55" s="55"/>
    </row>
    <row r="56" spans="2:11" x14ac:dyDescent="0.2">
      <c r="C56" t="s">
        <v>24</v>
      </c>
      <c r="G56" s="4">
        <v>10</v>
      </c>
      <c r="H56" t="s">
        <v>18</v>
      </c>
      <c r="I56" s="119">
        <f>J56*3600/4.186/45</f>
        <v>15.289058767319638</v>
      </c>
      <c r="J56">
        <v>0.8</v>
      </c>
      <c r="K56" t="s">
        <v>31</v>
      </c>
    </row>
    <row r="57" spans="2:11" x14ac:dyDescent="0.2">
      <c r="C57" t="s">
        <v>25</v>
      </c>
      <c r="G57" s="4"/>
      <c r="H57" t="s">
        <v>18</v>
      </c>
      <c r="I57" s="119">
        <f>J57*3600/4.186/45</f>
        <v>42.044911610129006</v>
      </c>
      <c r="J57">
        <v>2.2000000000000002</v>
      </c>
      <c r="K57" t="s">
        <v>31</v>
      </c>
    </row>
    <row r="58" spans="2:11" x14ac:dyDescent="0.2">
      <c r="B58" t="s">
        <v>43</v>
      </c>
      <c r="G58" s="39">
        <f>G59*J59+G60*J60+G61*J61</f>
        <v>10</v>
      </c>
      <c r="H58" t="s">
        <v>10</v>
      </c>
      <c r="I58" s="55"/>
    </row>
    <row r="59" spans="2:11" x14ac:dyDescent="0.2">
      <c r="C59" t="s">
        <v>26</v>
      </c>
      <c r="G59" s="4">
        <v>100</v>
      </c>
      <c r="H59" t="s">
        <v>29</v>
      </c>
      <c r="I59" s="119">
        <f t="shared" ref="I59:I63" si="18">J59*3600/4.186/45</f>
        <v>1.9111323459149547</v>
      </c>
      <c r="J59">
        <v>0.1</v>
      </c>
      <c r="K59" t="s">
        <v>30</v>
      </c>
    </row>
    <row r="60" spans="2:11" x14ac:dyDescent="0.2">
      <c r="C60" t="s">
        <v>27</v>
      </c>
      <c r="G60" s="4">
        <v>0</v>
      </c>
      <c r="H60" t="s">
        <v>29</v>
      </c>
      <c r="I60" s="119">
        <f t="shared" si="18"/>
        <v>2.8666985188724317</v>
      </c>
      <c r="J60">
        <v>0.15</v>
      </c>
      <c r="K60" t="s">
        <v>30</v>
      </c>
    </row>
    <row r="61" spans="2:11" x14ac:dyDescent="0.2">
      <c r="C61" t="s">
        <v>28</v>
      </c>
      <c r="G61" s="4">
        <v>0</v>
      </c>
      <c r="H61" t="s">
        <v>29</v>
      </c>
      <c r="I61" s="119">
        <f t="shared" si="18"/>
        <v>3.8222646918299095</v>
      </c>
      <c r="J61">
        <v>0.2</v>
      </c>
      <c r="K61" t="s">
        <v>30</v>
      </c>
    </row>
    <row r="62" spans="2:11" x14ac:dyDescent="0.2">
      <c r="B62" t="s">
        <v>44</v>
      </c>
      <c r="G62" s="39">
        <f>F63*J63/100</f>
        <v>0</v>
      </c>
      <c r="H62" t="s">
        <v>10</v>
      </c>
      <c r="I62" s="55"/>
    </row>
    <row r="63" spans="2:11" ht="14.25" x14ac:dyDescent="0.2">
      <c r="C63" t="s">
        <v>33</v>
      </c>
      <c r="F63" s="172">
        <v>0</v>
      </c>
      <c r="G63" s="172"/>
      <c r="H63" t="s">
        <v>35</v>
      </c>
      <c r="I63" s="119">
        <f t="shared" si="18"/>
        <v>15.289058767319638</v>
      </c>
      <c r="J63">
        <v>0.8</v>
      </c>
      <c r="K63" t="s">
        <v>34</v>
      </c>
    </row>
    <row r="64" spans="2:11" x14ac:dyDescent="0.2">
      <c r="B64" t="s">
        <v>45</v>
      </c>
      <c r="G64" s="39">
        <f>G65*4186*45/3600</f>
        <v>0</v>
      </c>
      <c r="H64" t="s">
        <v>10</v>
      </c>
      <c r="I64" s="55"/>
    </row>
    <row r="65" spans="2:13" ht="14.25" x14ac:dyDescent="0.2">
      <c r="C65" t="s">
        <v>36</v>
      </c>
      <c r="G65" s="4">
        <v>0</v>
      </c>
      <c r="H65" t="s">
        <v>37</v>
      </c>
    </row>
    <row r="66" spans="2:13" x14ac:dyDescent="0.2">
      <c r="M66" s="38"/>
    </row>
    <row r="68" spans="2:13" x14ac:dyDescent="0.2">
      <c r="B68" t="s">
        <v>82</v>
      </c>
    </row>
    <row r="70" spans="2:13" x14ac:dyDescent="0.2">
      <c r="B70" t="s">
        <v>83</v>
      </c>
      <c r="G70">
        <f>P35/24</f>
        <v>1.1833333333333333</v>
      </c>
      <c r="H70" t="s">
        <v>84</v>
      </c>
    </row>
    <row r="71" spans="2:13" x14ac:dyDescent="0.2">
      <c r="B71" t="s">
        <v>85</v>
      </c>
      <c r="G71" s="4">
        <v>3</v>
      </c>
      <c r="H71" t="s">
        <v>86</v>
      </c>
      <c r="J71" t="s">
        <v>87</v>
      </c>
    </row>
    <row r="72" spans="2:13" x14ac:dyDescent="0.2">
      <c r="B72" t="s">
        <v>88</v>
      </c>
      <c r="G72">
        <f>G70/4.122/G71</f>
        <v>9.5692490161194674E-2</v>
      </c>
      <c r="H72" t="s">
        <v>89</v>
      </c>
    </row>
    <row r="73" spans="2:13" x14ac:dyDescent="0.2">
      <c r="G73">
        <f>G72*3.6</f>
        <v>0.34449296458030082</v>
      </c>
      <c r="H73" t="s">
        <v>90</v>
      </c>
    </row>
    <row r="74" spans="2:13" x14ac:dyDescent="0.2">
      <c r="B74" t="s">
        <v>91</v>
      </c>
      <c r="F74" s="38" t="s">
        <v>93</v>
      </c>
      <c r="G74" s="4">
        <v>40</v>
      </c>
      <c r="H74" t="s">
        <v>92</v>
      </c>
    </row>
    <row r="75" spans="2:13" x14ac:dyDescent="0.2">
      <c r="B75" t="s">
        <v>94</v>
      </c>
      <c r="G75">
        <f>G72/1000/(PI()*G74/1000*G74/1000/4)</f>
        <v>7.6149664129633476E-2</v>
      </c>
      <c r="H75" t="s">
        <v>99</v>
      </c>
    </row>
    <row r="76" spans="2:13" x14ac:dyDescent="0.2">
      <c r="B76" t="s">
        <v>97</v>
      </c>
      <c r="G76" s="4">
        <v>100</v>
      </c>
      <c r="H76" t="s">
        <v>98</v>
      </c>
    </row>
    <row r="77" spans="2:13" x14ac:dyDescent="0.2">
      <c r="B77" t="s">
        <v>95</v>
      </c>
      <c r="G77" s="4">
        <v>0.5</v>
      </c>
      <c r="J77" s="114" t="s">
        <v>96</v>
      </c>
    </row>
    <row r="78" spans="2:13" x14ac:dyDescent="0.2">
      <c r="B78" t="s">
        <v>100</v>
      </c>
      <c r="G78" s="4">
        <v>125</v>
      </c>
      <c r="H78" t="s">
        <v>101</v>
      </c>
    </row>
    <row r="79" spans="2:13" x14ac:dyDescent="0.2">
      <c r="B79" t="s">
        <v>48</v>
      </c>
      <c r="G79">
        <f>G77*G78*G76/1000</f>
        <v>6.25</v>
      </c>
      <c r="H79" t="s">
        <v>102</v>
      </c>
    </row>
    <row r="80" spans="2:13" ht="13.5" thickBot="1" x14ac:dyDescent="0.25"/>
    <row r="81" spans="2:10" ht="13.5" thickBot="1" x14ac:dyDescent="0.25">
      <c r="B81" s="115" t="s">
        <v>103</v>
      </c>
      <c r="C81" s="116"/>
      <c r="D81" s="116"/>
      <c r="E81" s="116"/>
      <c r="F81" s="117">
        <f>G73</f>
        <v>0.34449296458030082</v>
      </c>
      <c r="G81" s="117" t="s">
        <v>90</v>
      </c>
      <c r="H81" s="117"/>
      <c r="I81" s="117">
        <f>G79</f>
        <v>6.25</v>
      </c>
      <c r="J81" s="118" t="s">
        <v>102</v>
      </c>
    </row>
    <row r="82" spans="2:10" x14ac:dyDescent="0.2">
      <c r="F82" s="170"/>
      <c r="G82" s="170"/>
    </row>
  </sheetData>
  <mergeCells count="34">
    <mergeCell ref="AD14:AH14"/>
    <mergeCell ref="AC13:AH13"/>
    <mergeCell ref="AD19:AH19"/>
    <mergeCell ref="AD20:AH20"/>
    <mergeCell ref="F82:G82"/>
    <mergeCell ref="AU4:AX4"/>
    <mergeCell ref="F63:G63"/>
    <mergeCell ref="L8:M8"/>
    <mergeCell ref="N8:O8"/>
    <mergeCell ref="S7:T7"/>
    <mergeCell ref="S8:T8"/>
    <mergeCell ref="AR4:AT4"/>
    <mergeCell ref="P7:Q7"/>
    <mergeCell ref="P8:Q8"/>
    <mergeCell ref="P35:Q35"/>
    <mergeCell ref="R34:R35"/>
    <mergeCell ref="AD15:AH15"/>
    <mergeCell ref="AD16:AH16"/>
    <mergeCell ref="AD17:AH17"/>
    <mergeCell ref="AD18:AH18"/>
    <mergeCell ref="A3:E3"/>
    <mergeCell ref="A2:E2"/>
    <mergeCell ref="A4:E4"/>
    <mergeCell ref="L35:M35"/>
    <mergeCell ref="N35:O35"/>
    <mergeCell ref="E7:O7"/>
    <mergeCell ref="F8:G8"/>
    <mergeCell ref="H8:I8"/>
    <mergeCell ref="A5:E5"/>
    <mergeCell ref="B8:D8"/>
    <mergeCell ref="H35:I35"/>
    <mergeCell ref="J35:K35"/>
    <mergeCell ref="J8:K8"/>
    <mergeCell ref="F35:G35"/>
  </mergeCells>
  <phoneticPr fontId="7" type="noConversion"/>
  <conditionalFormatting sqref="AA29:AA30">
    <cfRule type="cellIs" dxfId="9" priority="1" operator="equal">
      <formula>$AM$20</formula>
    </cfRule>
    <cfRule type="cellIs" dxfId="8" priority="2" operator="equal">
      <formula>$AM$21</formula>
    </cfRule>
    <cfRule type="cellIs" dxfId="7" priority="3" operator="equal">
      <formula>$AM$22</formula>
    </cfRule>
  </conditionalFormatting>
  <conditionalFormatting sqref="AD26:AF26 AD27:AD31">
    <cfRule type="cellIs" dxfId="6" priority="21" operator="greaterThan">
      <formula>$L$25&gt;$M$25</formula>
    </cfRule>
  </conditionalFormatting>
  <conditionalFormatting sqref="AE29:AF29">
    <cfRule type="cellIs" dxfId="5" priority="20" operator="greaterThan">
      <formula>$L$25&gt;$M$25</formula>
    </cfRule>
  </conditionalFormatting>
  <conditionalFormatting sqref="AM20:AM22">
    <cfRule type="cellIs" dxfId="4" priority="5" operator="equal">
      <formula>$P$28</formula>
    </cfRule>
    <cfRule type="cellIs" dxfId="3" priority="6" operator="equal">
      <formula>$P$27</formula>
    </cfRule>
    <cfRule type="cellIs" dxfId="2" priority="7" operator="equal">
      <formula>$P$26</formula>
    </cfRule>
  </conditionalFormatting>
  <conditionalFormatting sqref="AM4:AP4 AM5:AN8 AO5:AO10">
    <cfRule type="cellIs" dxfId="1" priority="4" operator="greaterThan">
      <formula>$L$25&gt;$M$25</formula>
    </cfRule>
  </conditionalFormatting>
  <conditionalFormatting sqref="AP5 AP7 AH26:AH27 AE27:AF27 AH29">
    <cfRule type="cellIs" dxfId="0" priority="22" operator="greaterThan">
      <formula>$L$25&gt;$M$25</formula>
    </cfRule>
  </conditionalFormatting>
  <dataValidations count="1">
    <dataValidation type="list" allowBlank="1" showInputMessage="1" showErrorMessage="1" sqref="Y22" xr:uid="{0060DB10-0422-468C-94F7-5E0A817D8815}">
      <formula1>$AC$26:$AC$31</formula1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AE28:AG28 AD29:AG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N16"/>
  <sheetViews>
    <sheetView workbookViewId="0">
      <selection activeCell="G4" sqref="G4"/>
    </sheetView>
  </sheetViews>
  <sheetFormatPr defaultColWidth="8.7109375" defaultRowHeight="15" x14ac:dyDescent="0.2"/>
  <cols>
    <col min="1" max="1" width="7.42578125" style="86" customWidth="1"/>
    <col min="2" max="2" width="3.42578125" style="86" customWidth="1"/>
    <col min="3" max="3" width="19.7109375" style="86" customWidth="1"/>
    <col min="4" max="4" width="11.42578125" style="86" bestFit="1" customWidth="1"/>
    <col min="5" max="5" width="6.42578125" style="86" customWidth="1"/>
    <col min="6" max="6" width="3.42578125" style="86" customWidth="1"/>
    <col min="7" max="7" width="7.140625" style="86" customWidth="1"/>
    <col min="8" max="8" width="9.140625" style="86"/>
    <col min="9" max="9" width="17.140625" style="86" customWidth="1"/>
    <col min="10" max="14" width="9.140625" style="86"/>
  </cols>
  <sheetData>
    <row r="1" spans="1:14" ht="15" customHeight="1" x14ac:dyDescent="0.25">
      <c r="A1" s="188" t="s">
        <v>70</v>
      </c>
      <c r="B1" s="188"/>
      <c r="C1" s="188"/>
      <c r="D1" s="188"/>
      <c r="E1" s="188"/>
      <c r="F1" s="188"/>
      <c r="G1" s="188"/>
    </row>
    <row r="2" spans="1:14" ht="15.75" thickBot="1" x14ac:dyDescent="0.25"/>
    <row r="3" spans="1:14" ht="15.75" thickBot="1" x14ac:dyDescent="0.25">
      <c r="B3" s="189" t="s">
        <v>67</v>
      </c>
      <c r="C3" s="190"/>
      <c r="D3" s="190"/>
      <c r="E3" s="191"/>
    </row>
    <row r="4" spans="1:14" x14ac:dyDescent="0.2">
      <c r="C4" s="90" t="s">
        <v>4</v>
      </c>
      <c r="D4" s="91">
        <f>uzi</f>
        <v>38.799999999999997</v>
      </c>
      <c r="E4" s="92" t="s">
        <v>10</v>
      </c>
    </row>
    <row r="5" spans="1:14" x14ac:dyDescent="0.2">
      <c r="C5" s="93" t="s">
        <v>5</v>
      </c>
      <c r="D5" s="89">
        <f>per</f>
        <v>8</v>
      </c>
      <c r="E5" s="94" t="s">
        <v>10</v>
      </c>
    </row>
    <row r="6" spans="1:14" x14ac:dyDescent="0.2">
      <c r="C6" s="93" t="s">
        <v>6</v>
      </c>
      <c r="D6" s="89">
        <f>gas</f>
        <v>10</v>
      </c>
      <c r="E6" s="94" t="s">
        <v>10</v>
      </c>
    </row>
    <row r="7" spans="1:14" x14ac:dyDescent="0.2">
      <c r="C7" s="93" t="s">
        <v>7</v>
      </c>
      <c r="D7" s="89">
        <f>ukl</f>
        <v>0</v>
      </c>
      <c r="E7" s="94" t="s">
        <v>10</v>
      </c>
    </row>
    <row r="8" spans="1:14" ht="15.75" thickBot="1" x14ac:dyDescent="0.25">
      <c r="C8" s="96" t="s">
        <v>8</v>
      </c>
      <c r="D8" s="97">
        <f>ost</f>
        <v>0</v>
      </c>
      <c r="E8" s="98" t="s">
        <v>10</v>
      </c>
    </row>
    <row r="9" spans="1:14" ht="15.75" thickBot="1" x14ac:dyDescent="0.25">
      <c r="B9" s="192" t="s">
        <v>71</v>
      </c>
      <c r="C9" s="193"/>
      <c r="D9" s="99">
        <f>'Příprava TV+návrh NZ'!P35</f>
        <v>28.400000000000002</v>
      </c>
      <c r="E9" s="92" t="s">
        <v>10</v>
      </c>
    </row>
    <row r="10" spans="1:14" s="88" customFormat="1" ht="16.5" thickBot="1" x14ac:dyDescent="0.3">
      <c r="A10" s="87"/>
      <c r="B10" s="100" t="s">
        <v>3</v>
      </c>
      <c r="C10" s="101"/>
      <c r="D10" s="102">
        <f>spot</f>
        <v>85.199999999999989</v>
      </c>
      <c r="E10" s="103" t="s">
        <v>10</v>
      </c>
      <c r="F10" s="104" t="s">
        <v>72</v>
      </c>
      <c r="G10" s="113">
        <f>spot*0.0036</f>
        <v>0.30671999999999994</v>
      </c>
      <c r="H10" s="105" t="s">
        <v>73</v>
      </c>
      <c r="I10" s="87"/>
      <c r="J10" s="87"/>
      <c r="K10" s="87"/>
      <c r="L10" s="87"/>
      <c r="M10" s="87"/>
      <c r="N10" s="87"/>
    </row>
    <row r="11" spans="1:14" ht="15.75" thickBot="1" x14ac:dyDescent="0.25"/>
    <row r="12" spans="1:14" ht="15.75" thickBot="1" x14ac:dyDescent="0.25">
      <c r="B12" s="189" t="s">
        <v>74</v>
      </c>
      <c r="C12" s="190"/>
      <c r="D12" s="190"/>
      <c r="E12" s="191"/>
    </row>
    <row r="13" spans="1:14" ht="16.5" thickBot="1" x14ac:dyDescent="0.3">
      <c r="D13" s="106">
        <f>ele</f>
        <v>5</v>
      </c>
      <c r="E13" s="107" t="s">
        <v>15</v>
      </c>
    </row>
    <row r="14" spans="1:14" ht="15.75" thickBot="1" x14ac:dyDescent="0.25">
      <c r="B14" s="189" t="s">
        <v>75</v>
      </c>
      <c r="C14" s="190"/>
      <c r="D14" s="190"/>
      <c r="E14" s="191"/>
    </row>
    <row r="15" spans="1:14" ht="18.75" x14ac:dyDescent="0.25">
      <c r="D15" s="109">
        <f>'Příprava TV+návrh NZ'!G44</f>
        <v>0.5</v>
      </c>
      <c r="E15" s="110" t="s">
        <v>76</v>
      </c>
    </row>
    <row r="16" spans="1:14" ht="15.75" thickBot="1" x14ac:dyDescent="0.25">
      <c r="C16" s="108" t="s">
        <v>77</v>
      </c>
      <c r="D16" s="111">
        <f>aku</f>
        <v>26.162500000000001</v>
      </c>
      <c r="E16" s="95" t="s">
        <v>10</v>
      </c>
    </row>
  </sheetData>
  <mergeCells count="5">
    <mergeCell ref="A1:G1"/>
    <mergeCell ref="B3:E3"/>
    <mergeCell ref="B9:C9"/>
    <mergeCell ref="B14:E14"/>
    <mergeCell ref="B12:E12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5"/>
  <sheetViews>
    <sheetView workbookViewId="0">
      <selection activeCell="A3" sqref="A3:E5"/>
    </sheetView>
  </sheetViews>
  <sheetFormatPr defaultColWidth="8.7109375" defaultRowHeight="12.75" x14ac:dyDescent="0.2"/>
  <cols>
    <col min="1" max="1" width="5.7109375" customWidth="1"/>
    <col min="2" max="2" width="4" customWidth="1"/>
    <col min="3" max="3" width="3.42578125" customWidth="1"/>
    <col min="4" max="4" width="4" customWidth="1"/>
    <col min="6" max="17" width="5.42578125" customWidth="1"/>
    <col min="18" max="18" width="10.140625" customWidth="1"/>
    <col min="19" max="20" width="5.42578125" customWidth="1"/>
    <col min="21" max="21" width="10.140625" customWidth="1"/>
    <col min="23" max="26" width="9.140625" customWidth="1"/>
  </cols>
  <sheetData>
    <row r="1" spans="1:32" ht="18" x14ac:dyDescent="0.25">
      <c r="A1" s="1" t="s">
        <v>0</v>
      </c>
    </row>
    <row r="2" spans="1:32" x14ac:dyDescent="0.2">
      <c r="A2" s="154" t="s">
        <v>46</v>
      </c>
      <c r="B2" s="154"/>
      <c r="C2" s="154"/>
      <c r="D2" s="154"/>
      <c r="E2" s="154"/>
    </row>
    <row r="3" spans="1:32" x14ac:dyDescent="0.2">
      <c r="A3" s="194" t="s">
        <v>65</v>
      </c>
      <c r="B3" s="195"/>
      <c r="C3" s="195"/>
      <c r="D3" s="195"/>
      <c r="E3" s="195"/>
    </row>
    <row r="4" spans="1:32" x14ac:dyDescent="0.2">
      <c r="A4" s="155" t="s">
        <v>47</v>
      </c>
      <c r="B4" s="155"/>
      <c r="C4" s="155"/>
      <c r="D4" s="155"/>
      <c r="E4" s="155"/>
    </row>
    <row r="5" spans="1:32" x14ac:dyDescent="0.2">
      <c r="A5" s="165" t="s">
        <v>79</v>
      </c>
      <c r="B5" s="165"/>
      <c r="C5" s="165"/>
      <c r="D5" s="165"/>
      <c r="E5" s="165"/>
    </row>
    <row r="6" spans="1:32" ht="13.5" thickBot="1" x14ac:dyDescent="0.25"/>
    <row r="7" spans="1:32" ht="13.5" thickBot="1" x14ac:dyDescent="0.25">
      <c r="A7" s="2"/>
      <c r="B7" s="12"/>
      <c r="C7" s="13"/>
      <c r="D7" s="14"/>
      <c r="E7" s="159" t="s">
        <v>11</v>
      </c>
      <c r="F7" s="160"/>
      <c r="G7" s="160"/>
      <c r="H7" s="160"/>
      <c r="I7" s="160"/>
      <c r="J7" s="160"/>
      <c r="K7" s="160"/>
      <c r="L7" s="160"/>
      <c r="M7" s="160"/>
      <c r="N7" s="160"/>
      <c r="O7" s="161"/>
      <c r="P7" s="159" t="s">
        <v>48</v>
      </c>
      <c r="Q7" s="160"/>
      <c r="R7" s="58" t="s">
        <v>51</v>
      </c>
      <c r="S7" s="174" t="s">
        <v>53</v>
      </c>
      <c r="T7" s="175"/>
      <c r="U7" s="78" t="s">
        <v>57</v>
      </c>
      <c r="V7" s="2"/>
      <c r="W7" s="171" t="s">
        <v>59</v>
      </c>
      <c r="X7" s="171"/>
      <c r="Y7" s="171"/>
      <c r="Z7" s="171" t="s">
        <v>66</v>
      </c>
      <c r="AA7" s="171"/>
      <c r="AB7" s="171"/>
      <c r="AC7" s="171"/>
      <c r="AD7" s="2"/>
      <c r="AE7" s="2"/>
      <c r="AF7" s="2"/>
    </row>
    <row r="8" spans="1:32" x14ac:dyDescent="0.2">
      <c r="A8" s="2"/>
      <c r="B8" s="166" t="s">
        <v>1</v>
      </c>
      <c r="C8" s="167"/>
      <c r="D8" s="168"/>
      <c r="E8" s="36" t="s">
        <v>3</v>
      </c>
      <c r="F8" s="162" t="s">
        <v>4</v>
      </c>
      <c r="G8" s="163"/>
      <c r="H8" s="164" t="s">
        <v>5</v>
      </c>
      <c r="I8" s="163"/>
      <c r="J8" s="164" t="s">
        <v>6</v>
      </c>
      <c r="K8" s="163"/>
      <c r="L8" s="164" t="s">
        <v>7</v>
      </c>
      <c r="M8" s="163"/>
      <c r="N8" s="164" t="s">
        <v>8</v>
      </c>
      <c r="O8" s="173"/>
      <c r="P8" s="174" t="s">
        <v>50</v>
      </c>
      <c r="Q8" s="177"/>
      <c r="R8" s="59" t="s">
        <v>52</v>
      </c>
      <c r="S8" s="176" t="s">
        <v>55</v>
      </c>
      <c r="T8" s="163"/>
      <c r="U8" s="79" t="s">
        <v>56</v>
      </c>
      <c r="V8" s="2"/>
      <c r="W8" s="80" t="s">
        <v>53</v>
      </c>
      <c r="X8" s="80" t="s">
        <v>51</v>
      </c>
      <c r="Y8" s="80" t="s">
        <v>61</v>
      </c>
      <c r="Z8" s="80" t="s">
        <v>69</v>
      </c>
      <c r="AA8" s="80" t="s">
        <v>48</v>
      </c>
      <c r="AB8" s="80" t="s">
        <v>67</v>
      </c>
      <c r="AC8" s="80" t="s">
        <v>68</v>
      </c>
      <c r="AD8" s="2"/>
      <c r="AE8" s="2"/>
      <c r="AF8" s="2"/>
    </row>
    <row r="9" spans="1:32" ht="13.5" thickBot="1" x14ac:dyDescent="0.25">
      <c r="A9" s="2"/>
      <c r="B9" s="15"/>
      <c r="C9" s="16"/>
      <c r="D9" s="17"/>
      <c r="E9" s="37"/>
      <c r="F9" s="11" t="s">
        <v>9</v>
      </c>
      <c r="G9" s="5" t="s">
        <v>10</v>
      </c>
      <c r="H9" s="5" t="s">
        <v>9</v>
      </c>
      <c r="I9" s="5" t="s">
        <v>10</v>
      </c>
      <c r="J9" s="5" t="s">
        <v>9</v>
      </c>
      <c r="K9" s="5" t="s">
        <v>10</v>
      </c>
      <c r="L9" s="5" t="s">
        <v>9</v>
      </c>
      <c r="M9" s="5" t="s">
        <v>10</v>
      </c>
      <c r="N9" s="5" t="s">
        <v>9</v>
      </c>
      <c r="O9" s="6" t="s">
        <v>10</v>
      </c>
      <c r="P9" s="56" t="s">
        <v>49</v>
      </c>
      <c r="Q9" s="60">
        <v>0.5</v>
      </c>
      <c r="R9" s="67" t="s">
        <v>10</v>
      </c>
      <c r="S9" s="77" t="s">
        <v>9</v>
      </c>
      <c r="T9" s="9" t="s">
        <v>15</v>
      </c>
      <c r="U9" s="10" t="s">
        <v>10</v>
      </c>
      <c r="V9" s="2"/>
      <c r="W9" s="80" t="s">
        <v>60</v>
      </c>
      <c r="X9" s="80" t="s">
        <v>60</v>
      </c>
      <c r="Y9" s="80"/>
      <c r="Z9" s="81">
        <v>0</v>
      </c>
      <c r="AA9" s="81">
        <v>0</v>
      </c>
      <c r="AB9" s="81">
        <v>0</v>
      </c>
      <c r="AC9" s="83">
        <f>G45</f>
        <v>42</v>
      </c>
      <c r="AD9" s="2"/>
      <c r="AE9" s="2"/>
      <c r="AF9" s="2"/>
    </row>
    <row r="10" spans="1:32" x14ac:dyDescent="0.2">
      <c r="B10" s="18">
        <v>0</v>
      </c>
      <c r="C10" s="23" t="s">
        <v>2</v>
      </c>
      <c r="D10" s="19">
        <v>1</v>
      </c>
      <c r="E10" s="52">
        <f>G10+I10+K10+M10+O10</f>
        <v>0.48799999999999999</v>
      </c>
      <c r="F10" s="42">
        <v>1</v>
      </c>
      <c r="G10" s="46">
        <f t="shared" ref="G10:G33" si="0">F10/100*uzi</f>
        <v>0.38799999999999996</v>
      </c>
      <c r="H10" s="34">
        <v>0</v>
      </c>
      <c r="I10" s="46">
        <f t="shared" ref="I10:I33" si="1">H10/100*per</f>
        <v>0</v>
      </c>
      <c r="J10" s="34">
        <v>1</v>
      </c>
      <c r="K10" s="46">
        <f t="shared" ref="K10:K33" si="2">J10/100*gas</f>
        <v>0.1</v>
      </c>
      <c r="L10" s="34">
        <v>0</v>
      </c>
      <c r="M10" s="46">
        <f t="shared" ref="M10:M33" si="3">L10/100*ukl</f>
        <v>0</v>
      </c>
      <c r="N10" s="34">
        <v>0</v>
      </c>
      <c r="O10" s="49">
        <f t="shared" ref="O10:O33" si="4">N10/100*ost</f>
        <v>0</v>
      </c>
      <c r="P10" s="18"/>
      <c r="Q10" s="62">
        <f t="shared" ref="Q10:Q33" si="5">pot/24*ztv</f>
        <v>1.1833333333333333</v>
      </c>
      <c r="R10" s="68">
        <f>E10+Q10</f>
        <v>1.6713333333333333</v>
      </c>
      <c r="S10" s="74">
        <f t="shared" ref="S10:S33" si="6">T10/ele</f>
        <v>-2.8332333333333333</v>
      </c>
      <c r="T10" s="75">
        <f>MIN(ele,R10+aku-G45)</f>
        <v>-14.166166666666665</v>
      </c>
      <c r="U10" s="76">
        <f>T10-R10+G45</f>
        <v>26.162500000000001</v>
      </c>
      <c r="V10" s="55"/>
      <c r="W10" s="84">
        <f>spot/24</f>
        <v>3.5499999999999994</v>
      </c>
      <c r="X10" s="84">
        <f>R10</f>
        <v>1.6713333333333333</v>
      </c>
      <c r="Y10" s="84">
        <f>X10-W10</f>
        <v>-1.878666666666666</v>
      </c>
      <c r="Z10" s="84">
        <v>1</v>
      </c>
      <c r="AA10" s="83">
        <f>Q10+AA9</f>
        <v>1.1833333333333333</v>
      </c>
      <c r="AB10" s="83">
        <f>E10+AB9</f>
        <v>0.48799999999999999</v>
      </c>
      <c r="AC10" s="83">
        <f>U10</f>
        <v>26.162500000000001</v>
      </c>
      <c r="AD10" s="55"/>
      <c r="AE10" s="55"/>
      <c r="AF10" s="55"/>
    </row>
    <row r="11" spans="1:32" x14ac:dyDescent="0.2">
      <c r="B11" s="20">
        <v>1</v>
      </c>
      <c r="C11" s="24" t="s">
        <v>2</v>
      </c>
      <c r="D11" s="21">
        <v>2</v>
      </c>
      <c r="E11" s="53">
        <f t="shared" ref="E11:E33" si="7">G11+I11+K11+M11+O11</f>
        <v>0</v>
      </c>
      <c r="F11" s="43">
        <v>0</v>
      </c>
      <c r="G11" s="47">
        <f t="shared" si="0"/>
        <v>0</v>
      </c>
      <c r="H11" s="35">
        <v>0</v>
      </c>
      <c r="I11" s="47">
        <f t="shared" si="1"/>
        <v>0</v>
      </c>
      <c r="J11" s="35">
        <v>0</v>
      </c>
      <c r="K11" s="47">
        <f t="shared" si="2"/>
        <v>0</v>
      </c>
      <c r="L11" s="35">
        <v>0</v>
      </c>
      <c r="M11" s="47">
        <f t="shared" si="3"/>
        <v>0</v>
      </c>
      <c r="N11" s="35">
        <v>0</v>
      </c>
      <c r="O11" s="50">
        <f t="shared" si="4"/>
        <v>0</v>
      </c>
      <c r="P11" s="20"/>
      <c r="Q11" s="63">
        <f t="shared" si="5"/>
        <v>1.1833333333333333</v>
      </c>
      <c r="R11" s="69">
        <f t="shared" ref="R11:R33" si="8">E11+Q11</f>
        <v>1.1833333333333333</v>
      </c>
      <c r="S11" s="72">
        <f t="shared" si="6"/>
        <v>0.23666666666666672</v>
      </c>
      <c r="T11" s="47">
        <f t="shared" ref="T11:T33" si="9">MIN(ele,R11+aku-U10)</f>
        <v>1.1833333333333336</v>
      </c>
      <c r="U11" s="50">
        <f t="shared" ref="U11:U33" si="10">U10+T11-R11</f>
        <v>26.162500000000001</v>
      </c>
      <c r="V11" s="55"/>
      <c r="W11" s="84">
        <f t="shared" ref="W11:W33" si="11">W10+spot/24</f>
        <v>7.0999999999999988</v>
      </c>
      <c r="X11" s="84">
        <f>X10+R11</f>
        <v>2.8546666666666667</v>
      </c>
      <c r="Y11" s="84">
        <f t="shared" ref="Y11:Y33" si="12">X11-W11</f>
        <v>-4.2453333333333321</v>
      </c>
      <c r="Z11" s="84">
        <v>2</v>
      </c>
      <c r="AA11" s="83">
        <f t="shared" ref="AA11:AA33" si="13">Q11+AA10</f>
        <v>2.3666666666666667</v>
      </c>
      <c r="AB11" s="83">
        <f t="shared" ref="AB11:AB33" si="14">E11+AB10</f>
        <v>0.48799999999999999</v>
      </c>
      <c r="AC11" s="83">
        <f t="shared" ref="AC11:AC33" si="15">U11</f>
        <v>26.162500000000001</v>
      </c>
      <c r="AD11" s="55"/>
      <c r="AE11" s="55"/>
      <c r="AF11" s="55"/>
    </row>
    <row r="12" spans="1:32" x14ac:dyDescent="0.2">
      <c r="B12" s="20">
        <v>2</v>
      </c>
      <c r="C12" s="24" t="s">
        <v>2</v>
      </c>
      <c r="D12" s="21">
        <v>3</v>
      </c>
      <c r="E12" s="53">
        <f t="shared" si="7"/>
        <v>0</v>
      </c>
      <c r="F12" s="43">
        <v>0</v>
      </c>
      <c r="G12" s="47">
        <f t="shared" si="0"/>
        <v>0</v>
      </c>
      <c r="H12" s="35">
        <v>0</v>
      </c>
      <c r="I12" s="47">
        <f t="shared" si="1"/>
        <v>0</v>
      </c>
      <c r="J12" s="35">
        <v>0</v>
      </c>
      <c r="K12" s="47">
        <f t="shared" si="2"/>
        <v>0</v>
      </c>
      <c r="L12" s="35">
        <v>0</v>
      </c>
      <c r="M12" s="47">
        <f t="shared" si="3"/>
        <v>0</v>
      </c>
      <c r="N12" s="35">
        <v>0</v>
      </c>
      <c r="O12" s="50">
        <f t="shared" si="4"/>
        <v>0</v>
      </c>
      <c r="P12" s="20"/>
      <c r="Q12" s="63">
        <f t="shared" si="5"/>
        <v>1.1833333333333333</v>
      </c>
      <c r="R12" s="69">
        <f t="shared" si="8"/>
        <v>1.1833333333333333</v>
      </c>
      <c r="S12" s="72">
        <f t="shared" si="6"/>
        <v>0.23666666666666672</v>
      </c>
      <c r="T12" s="47">
        <f t="shared" si="9"/>
        <v>1.1833333333333336</v>
      </c>
      <c r="U12" s="50">
        <f t="shared" si="10"/>
        <v>26.162500000000001</v>
      </c>
      <c r="V12" s="55"/>
      <c r="W12" s="84">
        <f t="shared" si="11"/>
        <v>10.649999999999999</v>
      </c>
      <c r="X12" s="84">
        <f t="shared" ref="X12:X33" si="16">X11+R12</f>
        <v>4.0380000000000003</v>
      </c>
      <c r="Y12" s="84">
        <f t="shared" si="12"/>
        <v>-6.6119999999999983</v>
      </c>
      <c r="Z12" s="84">
        <v>3</v>
      </c>
      <c r="AA12" s="83">
        <f t="shared" si="13"/>
        <v>3.55</v>
      </c>
      <c r="AB12" s="83">
        <f t="shared" si="14"/>
        <v>0.48799999999999999</v>
      </c>
      <c r="AC12" s="83">
        <f t="shared" si="15"/>
        <v>26.162500000000001</v>
      </c>
      <c r="AD12" s="55"/>
      <c r="AE12" s="55"/>
      <c r="AF12" s="55"/>
    </row>
    <row r="13" spans="1:32" x14ac:dyDescent="0.2">
      <c r="B13" s="20">
        <v>3</v>
      </c>
      <c r="C13" s="24" t="s">
        <v>2</v>
      </c>
      <c r="D13" s="21">
        <v>4</v>
      </c>
      <c r="E13" s="53">
        <f t="shared" si="7"/>
        <v>0</v>
      </c>
      <c r="F13" s="43">
        <v>0</v>
      </c>
      <c r="G13" s="47">
        <f t="shared" si="0"/>
        <v>0</v>
      </c>
      <c r="H13" s="35">
        <v>0</v>
      </c>
      <c r="I13" s="47">
        <f t="shared" si="1"/>
        <v>0</v>
      </c>
      <c r="J13" s="35">
        <v>0</v>
      </c>
      <c r="K13" s="47">
        <f t="shared" si="2"/>
        <v>0</v>
      </c>
      <c r="L13" s="35">
        <v>0</v>
      </c>
      <c r="M13" s="47">
        <f t="shared" si="3"/>
        <v>0</v>
      </c>
      <c r="N13" s="35">
        <v>0</v>
      </c>
      <c r="O13" s="50">
        <f t="shared" si="4"/>
        <v>0</v>
      </c>
      <c r="P13" s="20"/>
      <c r="Q13" s="63">
        <f t="shared" si="5"/>
        <v>1.1833333333333333</v>
      </c>
      <c r="R13" s="69">
        <f t="shared" si="8"/>
        <v>1.1833333333333333</v>
      </c>
      <c r="S13" s="72">
        <f t="shared" si="6"/>
        <v>0.23666666666666672</v>
      </c>
      <c r="T13" s="47">
        <f t="shared" si="9"/>
        <v>1.1833333333333336</v>
      </c>
      <c r="U13" s="50">
        <f t="shared" si="10"/>
        <v>26.162500000000001</v>
      </c>
      <c r="V13" s="55"/>
      <c r="W13" s="84">
        <f t="shared" si="11"/>
        <v>14.199999999999998</v>
      </c>
      <c r="X13" s="84">
        <f t="shared" si="16"/>
        <v>5.2213333333333338</v>
      </c>
      <c r="Y13" s="84">
        <f t="shared" si="12"/>
        <v>-8.9786666666666637</v>
      </c>
      <c r="Z13" s="84">
        <v>4</v>
      </c>
      <c r="AA13" s="83">
        <f t="shared" si="13"/>
        <v>4.7333333333333334</v>
      </c>
      <c r="AB13" s="83">
        <f t="shared" si="14"/>
        <v>0.48799999999999999</v>
      </c>
      <c r="AC13" s="83">
        <f t="shared" si="15"/>
        <v>26.162500000000001</v>
      </c>
      <c r="AD13" s="55"/>
      <c r="AE13" s="55"/>
      <c r="AF13" s="55"/>
    </row>
    <row r="14" spans="1:32" x14ac:dyDescent="0.2">
      <c r="B14" s="20">
        <v>4</v>
      </c>
      <c r="C14" s="24" t="s">
        <v>2</v>
      </c>
      <c r="D14" s="21">
        <v>5</v>
      </c>
      <c r="E14" s="53">
        <f t="shared" si="7"/>
        <v>0</v>
      </c>
      <c r="F14" s="43">
        <v>0</v>
      </c>
      <c r="G14" s="47">
        <f t="shared" si="0"/>
        <v>0</v>
      </c>
      <c r="H14" s="35">
        <v>0</v>
      </c>
      <c r="I14" s="47">
        <f t="shared" si="1"/>
        <v>0</v>
      </c>
      <c r="J14" s="35">
        <v>0</v>
      </c>
      <c r="K14" s="47">
        <f t="shared" si="2"/>
        <v>0</v>
      </c>
      <c r="L14" s="35">
        <v>0</v>
      </c>
      <c r="M14" s="47">
        <f t="shared" si="3"/>
        <v>0</v>
      </c>
      <c r="N14" s="35">
        <v>0</v>
      </c>
      <c r="O14" s="50">
        <f t="shared" si="4"/>
        <v>0</v>
      </c>
      <c r="P14" s="20"/>
      <c r="Q14" s="63">
        <f t="shared" si="5"/>
        <v>1.1833333333333333</v>
      </c>
      <c r="R14" s="69">
        <f t="shared" si="8"/>
        <v>1.1833333333333333</v>
      </c>
      <c r="S14" s="72">
        <f t="shared" si="6"/>
        <v>0.23666666666666672</v>
      </c>
      <c r="T14" s="47">
        <f t="shared" si="9"/>
        <v>1.1833333333333336</v>
      </c>
      <c r="U14" s="50">
        <f t="shared" si="10"/>
        <v>26.162500000000001</v>
      </c>
      <c r="V14" s="55"/>
      <c r="W14" s="84">
        <f t="shared" si="11"/>
        <v>17.749999999999996</v>
      </c>
      <c r="X14" s="84">
        <f t="shared" si="16"/>
        <v>6.4046666666666674</v>
      </c>
      <c r="Y14" s="84">
        <f t="shared" si="12"/>
        <v>-11.345333333333329</v>
      </c>
      <c r="Z14" s="84">
        <v>5</v>
      </c>
      <c r="AA14" s="83">
        <f t="shared" si="13"/>
        <v>5.916666666666667</v>
      </c>
      <c r="AB14" s="83">
        <f t="shared" si="14"/>
        <v>0.48799999999999999</v>
      </c>
      <c r="AC14" s="83">
        <f t="shared" si="15"/>
        <v>26.162500000000001</v>
      </c>
      <c r="AD14" s="55"/>
      <c r="AE14" s="55"/>
      <c r="AF14" s="55"/>
    </row>
    <row r="15" spans="1:32" x14ac:dyDescent="0.2">
      <c r="B15" s="20">
        <v>5</v>
      </c>
      <c r="C15" s="24" t="s">
        <v>2</v>
      </c>
      <c r="D15" s="21">
        <v>6</v>
      </c>
      <c r="E15" s="53">
        <f t="shared" si="7"/>
        <v>0.38799999999999996</v>
      </c>
      <c r="F15" s="43">
        <v>1</v>
      </c>
      <c r="G15" s="47">
        <f t="shared" si="0"/>
        <v>0.38799999999999996</v>
      </c>
      <c r="H15" s="35">
        <v>0</v>
      </c>
      <c r="I15" s="47">
        <f t="shared" si="1"/>
        <v>0</v>
      </c>
      <c r="J15" s="35">
        <v>0</v>
      </c>
      <c r="K15" s="47">
        <f t="shared" si="2"/>
        <v>0</v>
      </c>
      <c r="L15" s="35">
        <v>0</v>
      </c>
      <c r="M15" s="47">
        <f t="shared" si="3"/>
        <v>0</v>
      </c>
      <c r="N15" s="35">
        <v>0</v>
      </c>
      <c r="O15" s="50">
        <f t="shared" si="4"/>
        <v>0</v>
      </c>
      <c r="P15" s="20"/>
      <c r="Q15" s="63">
        <f t="shared" si="5"/>
        <v>1.1833333333333333</v>
      </c>
      <c r="R15" s="69">
        <f t="shared" si="8"/>
        <v>1.5713333333333332</v>
      </c>
      <c r="S15" s="72">
        <f t="shared" si="6"/>
        <v>0.31426666666666636</v>
      </c>
      <c r="T15" s="47">
        <f t="shared" si="9"/>
        <v>1.5713333333333317</v>
      </c>
      <c r="U15" s="50">
        <f t="shared" si="10"/>
        <v>26.162500000000001</v>
      </c>
      <c r="V15" s="55"/>
      <c r="W15" s="84">
        <f t="shared" si="11"/>
        <v>21.299999999999997</v>
      </c>
      <c r="X15" s="84">
        <f t="shared" si="16"/>
        <v>7.9760000000000009</v>
      </c>
      <c r="Y15" s="84">
        <f t="shared" si="12"/>
        <v>-13.323999999999996</v>
      </c>
      <c r="Z15" s="84">
        <v>6</v>
      </c>
      <c r="AA15" s="83">
        <f t="shared" si="13"/>
        <v>7.1000000000000005</v>
      </c>
      <c r="AB15" s="83">
        <f t="shared" si="14"/>
        <v>0.87599999999999989</v>
      </c>
      <c r="AC15" s="83">
        <f t="shared" si="15"/>
        <v>26.162500000000001</v>
      </c>
      <c r="AD15" s="55"/>
      <c r="AE15" s="55"/>
      <c r="AF15" s="55"/>
    </row>
    <row r="16" spans="1:32" x14ac:dyDescent="0.2">
      <c r="B16" s="20">
        <v>6</v>
      </c>
      <c r="C16" s="24" t="s">
        <v>2</v>
      </c>
      <c r="D16" s="21">
        <v>7</v>
      </c>
      <c r="E16" s="53">
        <f t="shared" si="7"/>
        <v>1.264</v>
      </c>
      <c r="F16" s="43">
        <v>3</v>
      </c>
      <c r="G16" s="47">
        <f t="shared" si="0"/>
        <v>1.1639999999999999</v>
      </c>
      <c r="H16" s="35">
        <v>0</v>
      </c>
      <c r="I16" s="47">
        <f t="shared" si="1"/>
        <v>0</v>
      </c>
      <c r="J16" s="35">
        <v>1</v>
      </c>
      <c r="K16" s="47">
        <f t="shared" si="2"/>
        <v>0.1</v>
      </c>
      <c r="L16" s="35">
        <v>20</v>
      </c>
      <c r="M16" s="47">
        <f t="shared" si="3"/>
        <v>0</v>
      </c>
      <c r="N16" s="35">
        <v>0</v>
      </c>
      <c r="O16" s="50">
        <f t="shared" si="4"/>
        <v>0</v>
      </c>
      <c r="P16" s="20"/>
      <c r="Q16" s="63">
        <f t="shared" si="5"/>
        <v>1.1833333333333333</v>
      </c>
      <c r="R16" s="69">
        <f t="shared" si="8"/>
        <v>2.4473333333333334</v>
      </c>
      <c r="S16" s="72">
        <f t="shared" si="6"/>
        <v>0.48946666666666661</v>
      </c>
      <c r="T16" s="47">
        <f t="shared" si="9"/>
        <v>2.4473333333333329</v>
      </c>
      <c r="U16" s="50">
        <f t="shared" si="10"/>
        <v>26.162500000000001</v>
      </c>
      <c r="V16" s="55"/>
      <c r="W16" s="84">
        <f t="shared" si="11"/>
        <v>24.849999999999998</v>
      </c>
      <c r="X16" s="84">
        <f t="shared" si="16"/>
        <v>10.423333333333334</v>
      </c>
      <c r="Y16" s="84">
        <f t="shared" si="12"/>
        <v>-14.426666666666664</v>
      </c>
      <c r="Z16" s="84">
        <v>7</v>
      </c>
      <c r="AA16" s="83">
        <f t="shared" si="13"/>
        <v>8.2833333333333332</v>
      </c>
      <c r="AB16" s="83">
        <f t="shared" si="14"/>
        <v>2.1399999999999997</v>
      </c>
      <c r="AC16" s="83">
        <f t="shared" si="15"/>
        <v>26.162500000000001</v>
      </c>
      <c r="AD16" s="55"/>
      <c r="AE16" s="55"/>
      <c r="AF16" s="55"/>
    </row>
    <row r="17" spans="2:32" x14ac:dyDescent="0.2">
      <c r="B17" s="20">
        <v>7</v>
      </c>
      <c r="C17" s="24" t="s">
        <v>2</v>
      </c>
      <c r="D17" s="21">
        <v>8</v>
      </c>
      <c r="E17" s="53">
        <f t="shared" si="7"/>
        <v>1.9919999999999998</v>
      </c>
      <c r="F17" s="43">
        <v>4</v>
      </c>
      <c r="G17" s="47">
        <f t="shared" si="0"/>
        <v>1.5519999999999998</v>
      </c>
      <c r="H17" s="35">
        <v>3</v>
      </c>
      <c r="I17" s="47">
        <f t="shared" si="1"/>
        <v>0.24</v>
      </c>
      <c r="J17" s="35">
        <v>2</v>
      </c>
      <c r="K17" s="47">
        <f t="shared" si="2"/>
        <v>0.2</v>
      </c>
      <c r="L17" s="35">
        <v>20</v>
      </c>
      <c r="M17" s="47">
        <f t="shared" si="3"/>
        <v>0</v>
      </c>
      <c r="N17" s="35">
        <v>0</v>
      </c>
      <c r="O17" s="50">
        <f t="shared" si="4"/>
        <v>0</v>
      </c>
      <c r="P17" s="20"/>
      <c r="Q17" s="63">
        <f t="shared" si="5"/>
        <v>1.1833333333333333</v>
      </c>
      <c r="R17" s="69">
        <f t="shared" si="8"/>
        <v>3.1753333333333331</v>
      </c>
      <c r="S17" s="72">
        <f t="shared" si="6"/>
        <v>0.63506666666666689</v>
      </c>
      <c r="T17" s="47">
        <f t="shared" si="9"/>
        <v>3.1753333333333345</v>
      </c>
      <c r="U17" s="50">
        <f t="shared" si="10"/>
        <v>26.162500000000001</v>
      </c>
      <c r="V17" s="55"/>
      <c r="W17" s="84">
        <f t="shared" si="11"/>
        <v>28.4</v>
      </c>
      <c r="X17" s="84">
        <f t="shared" si="16"/>
        <v>13.598666666666666</v>
      </c>
      <c r="Y17" s="84">
        <f t="shared" si="12"/>
        <v>-14.801333333333332</v>
      </c>
      <c r="Z17" s="84">
        <v>8</v>
      </c>
      <c r="AA17" s="83">
        <f t="shared" si="13"/>
        <v>9.4666666666666668</v>
      </c>
      <c r="AB17" s="83">
        <f t="shared" si="14"/>
        <v>4.1319999999999997</v>
      </c>
      <c r="AC17" s="83">
        <f t="shared" si="15"/>
        <v>26.162500000000001</v>
      </c>
      <c r="AD17" s="55"/>
      <c r="AE17" s="55"/>
      <c r="AF17" s="55"/>
    </row>
    <row r="18" spans="2:32" x14ac:dyDescent="0.2">
      <c r="B18" s="20">
        <v>8</v>
      </c>
      <c r="C18" s="24" t="s">
        <v>2</v>
      </c>
      <c r="D18" s="21">
        <v>9</v>
      </c>
      <c r="E18" s="53">
        <f t="shared" si="7"/>
        <v>3.4399999999999995</v>
      </c>
      <c r="F18" s="43">
        <v>5</v>
      </c>
      <c r="G18" s="47">
        <f t="shared" si="0"/>
        <v>1.94</v>
      </c>
      <c r="H18" s="35">
        <v>15</v>
      </c>
      <c r="I18" s="47">
        <f t="shared" si="1"/>
        <v>1.2</v>
      </c>
      <c r="J18" s="35">
        <v>3</v>
      </c>
      <c r="K18" s="47">
        <f t="shared" si="2"/>
        <v>0.3</v>
      </c>
      <c r="L18" s="35">
        <v>0</v>
      </c>
      <c r="M18" s="47">
        <f t="shared" si="3"/>
        <v>0</v>
      </c>
      <c r="N18" s="35">
        <v>0</v>
      </c>
      <c r="O18" s="50">
        <f t="shared" si="4"/>
        <v>0</v>
      </c>
      <c r="P18" s="20"/>
      <c r="Q18" s="63">
        <f t="shared" si="5"/>
        <v>1.1833333333333333</v>
      </c>
      <c r="R18" s="69">
        <f t="shared" si="8"/>
        <v>4.6233333333333331</v>
      </c>
      <c r="S18" s="72">
        <f t="shared" si="6"/>
        <v>0.92466666666666697</v>
      </c>
      <c r="T18" s="47">
        <f t="shared" si="9"/>
        <v>4.6233333333333348</v>
      </c>
      <c r="U18" s="50">
        <f t="shared" si="10"/>
        <v>26.162500000000001</v>
      </c>
      <c r="V18" s="55"/>
      <c r="W18" s="84">
        <f t="shared" si="11"/>
        <v>31.95</v>
      </c>
      <c r="X18" s="84">
        <f t="shared" si="16"/>
        <v>18.222000000000001</v>
      </c>
      <c r="Y18" s="84">
        <f t="shared" si="12"/>
        <v>-13.727999999999998</v>
      </c>
      <c r="Z18" s="84">
        <v>9</v>
      </c>
      <c r="AA18" s="83">
        <f t="shared" si="13"/>
        <v>10.65</v>
      </c>
      <c r="AB18" s="83">
        <f t="shared" si="14"/>
        <v>7.5719999999999992</v>
      </c>
      <c r="AC18" s="83">
        <f t="shared" si="15"/>
        <v>26.162500000000001</v>
      </c>
      <c r="AD18" s="55"/>
      <c r="AE18" s="55"/>
      <c r="AF18" s="55"/>
    </row>
    <row r="19" spans="2:32" x14ac:dyDescent="0.2">
      <c r="B19" s="20">
        <v>9</v>
      </c>
      <c r="C19" s="24" t="s">
        <v>2</v>
      </c>
      <c r="D19" s="21">
        <v>10</v>
      </c>
      <c r="E19" s="53">
        <f t="shared" si="7"/>
        <v>3.6960000000000002</v>
      </c>
      <c r="F19" s="43">
        <v>7</v>
      </c>
      <c r="G19" s="47">
        <f t="shared" si="0"/>
        <v>2.7160000000000002</v>
      </c>
      <c r="H19" s="35">
        <v>6</v>
      </c>
      <c r="I19" s="47">
        <f t="shared" si="1"/>
        <v>0.48</v>
      </c>
      <c r="J19" s="35">
        <v>5</v>
      </c>
      <c r="K19" s="47">
        <f t="shared" si="2"/>
        <v>0.5</v>
      </c>
      <c r="L19" s="35">
        <v>0</v>
      </c>
      <c r="M19" s="47">
        <f t="shared" si="3"/>
        <v>0</v>
      </c>
      <c r="N19" s="35">
        <v>0</v>
      </c>
      <c r="O19" s="50">
        <f t="shared" si="4"/>
        <v>0</v>
      </c>
      <c r="P19" s="20"/>
      <c r="Q19" s="63">
        <f t="shared" si="5"/>
        <v>1.1833333333333333</v>
      </c>
      <c r="R19" s="69">
        <f t="shared" si="8"/>
        <v>4.8793333333333333</v>
      </c>
      <c r="S19" s="72">
        <f t="shared" si="6"/>
        <v>0.97586666666666699</v>
      </c>
      <c r="T19" s="47">
        <f t="shared" si="9"/>
        <v>4.8793333333333351</v>
      </c>
      <c r="U19" s="50">
        <f t="shared" si="10"/>
        <v>26.162500000000001</v>
      </c>
      <c r="V19" s="55"/>
      <c r="W19" s="84">
        <f t="shared" si="11"/>
        <v>35.5</v>
      </c>
      <c r="X19" s="84">
        <f t="shared" si="16"/>
        <v>23.101333333333336</v>
      </c>
      <c r="Y19" s="84">
        <f t="shared" si="12"/>
        <v>-12.398666666666664</v>
      </c>
      <c r="Z19" s="84">
        <v>10</v>
      </c>
      <c r="AA19" s="83">
        <f t="shared" si="13"/>
        <v>11.833333333333334</v>
      </c>
      <c r="AB19" s="83">
        <f t="shared" si="14"/>
        <v>11.267999999999999</v>
      </c>
      <c r="AC19" s="83">
        <f t="shared" si="15"/>
        <v>26.162500000000001</v>
      </c>
      <c r="AD19" s="55"/>
      <c r="AE19" s="55"/>
      <c r="AF19" s="55"/>
    </row>
    <row r="20" spans="2:32" x14ac:dyDescent="0.2">
      <c r="B20" s="20">
        <v>10</v>
      </c>
      <c r="C20" s="24" t="s">
        <v>2</v>
      </c>
      <c r="D20" s="21">
        <v>11</v>
      </c>
      <c r="E20" s="53">
        <f t="shared" si="7"/>
        <v>4.2039999999999997</v>
      </c>
      <c r="F20" s="43">
        <v>8</v>
      </c>
      <c r="G20" s="47">
        <f t="shared" si="0"/>
        <v>3.1039999999999996</v>
      </c>
      <c r="H20" s="35">
        <v>5</v>
      </c>
      <c r="I20" s="47">
        <f t="shared" si="1"/>
        <v>0.4</v>
      </c>
      <c r="J20" s="35">
        <v>7</v>
      </c>
      <c r="K20" s="47">
        <f t="shared" si="2"/>
        <v>0.70000000000000007</v>
      </c>
      <c r="L20" s="35">
        <v>0</v>
      </c>
      <c r="M20" s="47">
        <f t="shared" si="3"/>
        <v>0</v>
      </c>
      <c r="N20" s="35">
        <v>0</v>
      </c>
      <c r="O20" s="50">
        <f t="shared" si="4"/>
        <v>0</v>
      </c>
      <c r="P20" s="20"/>
      <c r="Q20" s="63">
        <f t="shared" si="5"/>
        <v>1.1833333333333333</v>
      </c>
      <c r="R20" s="69">
        <f t="shared" si="8"/>
        <v>5.3873333333333333</v>
      </c>
      <c r="S20" s="72">
        <f t="shared" si="6"/>
        <v>1</v>
      </c>
      <c r="T20" s="47">
        <f t="shared" si="9"/>
        <v>5</v>
      </c>
      <c r="U20" s="50">
        <f t="shared" si="10"/>
        <v>25.775166666666667</v>
      </c>
      <c r="V20" s="55"/>
      <c r="W20" s="84">
        <f t="shared" si="11"/>
        <v>39.049999999999997</v>
      </c>
      <c r="X20" s="84">
        <f t="shared" si="16"/>
        <v>28.488666666666671</v>
      </c>
      <c r="Y20" s="84">
        <f t="shared" si="12"/>
        <v>-10.561333333333327</v>
      </c>
      <c r="Z20" s="84">
        <v>11</v>
      </c>
      <c r="AA20" s="83">
        <f t="shared" si="13"/>
        <v>13.016666666666667</v>
      </c>
      <c r="AB20" s="83">
        <f t="shared" si="14"/>
        <v>15.471999999999998</v>
      </c>
      <c r="AC20" s="83">
        <f t="shared" si="15"/>
        <v>25.775166666666667</v>
      </c>
      <c r="AD20" s="55"/>
      <c r="AE20" s="55"/>
      <c r="AF20" s="55"/>
    </row>
    <row r="21" spans="2:32" x14ac:dyDescent="0.2">
      <c r="B21" s="20">
        <v>11</v>
      </c>
      <c r="C21" s="24" t="s">
        <v>2</v>
      </c>
      <c r="D21" s="21">
        <v>12</v>
      </c>
      <c r="E21" s="53">
        <f t="shared" si="7"/>
        <v>4.7279999999999998</v>
      </c>
      <c r="F21" s="43">
        <v>6</v>
      </c>
      <c r="G21" s="47">
        <f t="shared" si="0"/>
        <v>2.3279999999999998</v>
      </c>
      <c r="H21" s="35">
        <v>10</v>
      </c>
      <c r="I21" s="47">
        <f t="shared" si="1"/>
        <v>0.8</v>
      </c>
      <c r="J21" s="35">
        <v>16</v>
      </c>
      <c r="K21" s="47">
        <f t="shared" si="2"/>
        <v>1.6</v>
      </c>
      <c r="L21" s="35">
        <v>0</v>
      </c>
      <c r="M21" s="47">
        <f t="shared" si="3"/>
        <v>0</v>
      </c>
      <c r="N21" s="35">
        <v>0</v>
      </c>
      <c r="O21" s="50">
        <f t="shared" si="4"/>
        <v>0</v>
      </c>
      <c r="P21" s="20"/>
      <c r="Q21" s="63">
        <f t="shared" si="5"/>
        <v>1.1833333333333333</v>
      </c>
      <c r="R21" s="69">
        <f t="shared" si="8"/>
        <v>5.9113333333333333</v>
      </c>
      <c r="S21" s="72">
        <f t="shared" si="6"/>
        <v>1</v>
      </c>
      <c r="T21" s="47">
        <f t="shared" si="9"/>
        <v>5</v>
      </c>
      <c r="U21" s="50">
        <f t="shared" si="10"/>
        <v>24.863833333333332</v>
      </c>
      <c r="V21" s="55"/>
      <c r="W21" s="84">
        <f t="shared" si="11"/>
        <v>42.599999999999994</v>
      </c>
      <c r="X21" s="84">
        <f t="shared" si="16"/>
        <v>34.400000000000006</v>
      </c>
      <c r="Y21" s="84">
        <f t="shared" si="12"/>
        <v>-8.1999999999999886</v>
      </c>
      <c r="Z21" s="84">
        <v>12</v>
      </c>
      <c r="AA21" s="83">
        <f t="shared" si="13"/>
        <v>14.200000000000001</v>
      </c>
      <c r="AB21" s="83">
        <f t="shared" si="14"/>
        <v>20.199999999999996</v>
      </c>
      <c r="AC21" s="83">
        <f t="shared" si="15"/>
        <v>24.863833333333332</v>
      </c>
      <c r="AD21" s="55"/>
      <c r="AE21" s="55"/>
      <c r="AF21" s="55"/>
    </row>
    <row r="22" spans="2:32" x14ac:dyDescent="0.2">
      <c r="B22" s="20">
        <v>12</v>
      </c>
      <c r="C22" s="24" t="s">
        <v>2</v>
      </c>
      <c r="D22" s="21">
        <v>13</v>
      </c>
      <c r="E22" s="53">
        <f t="shared" si="7"/>
        <v>3.6919999999999997</v>
      </c>
      <c r="F22" s="43">
        <v>4</v>
      </c>
      <c r="G22" s="47">
        <f t="shared" si="0"/>
        <v>1.5519999999999998</v>
      </c>
      <c r="H22" s="35">
        <v>8</v>
      </c>
      <c r="I22" s="47">
        <f t="shared" si="1"/>
        <v>0.64</v>
      </c>
      <c r="J22" s="35">
        <v>15</v>
      </c>
      <c r="K22" s="47">
        <f t="shared" si="2"/>
        <v>1.5</v>
      </c>
      <c r="L22" s="35">
        <v>0</v>
      </c>
      <c r="M22" s="47">
        <f t="shared" si="3"/>
        <v>0</v>
      </c>
      <c r="N22" s="35">
        <v>0</v>
      </c>
      <c r="O22" s="50">
        <f t="shared" si="4"/>
        <v>0</v>
      </c>
      <c r="P22" s="20"/>
      <c r="Q22" s="63">
        <f t="shared" si="5"/>
        <v>1.1833333333333333</v>
      </c>
      <c r="R22" s="69">
        <f t="shared" si="8"/>
        <v>4.8753333333333329</v>
      </c>
      <c r="S22" s="72">
        <f t="shared" si="6"/>
        <v>1</v>
      </c>
      <c r="T22" s="47">
        <f t="shared" si="9"/>
        <v>5</v>
      </c>
      <c r="U22" s="50">
        <f t="shared" si="10"/>
        <v>24.988499999999998</v>
      </c>
      <c r="V22" s="55"/>
      <c r="W22" s="84">
        <f t="shared" si="11"/>
        <v>46.149999999999991</v>
      </c>
      <c r="X22" s="84">
        <f t="shared" si="16"/>
        <v>39.275333333333336</v>
      </c>
      <c r="Y22" s="84">
        <f t="shared" si="12"/>
        <v>-6.8746666666666556</v>
      </c>
      <c r="Z22" s="84">
        <v>13</v>
      </c>
      <c r="AA22" s="83">
        <f t="shared" si="13"/>
        <v>15.383333333333335</v>
      </c>
      <c r="AB22" s="83">
        <f t="shared" si="14"/>
        <v>23.891999999999996</v>
      </c>
      <c r="AC22" s="83">
        <f t="shared" si="15"/>
        <v>24.988499999999998</v>
      </c>
      <c r="AD22" s="55"/>
      <c r="AE22" s="55"/>
      <c r="AF22" s="55"/>
    </row>
    <row r="23" spans="2:32" x14ac:dyDescent="0.2">
      <c r="B23" s="20">
        <v>13</v>
      </c>
      <c r="C23" s="24" t="s">
        <v>2</v>
      </c>
      <c r="D23" s="21">
        <v>14</v>
      </c>
      <c r="E23" s="53">
        <f t="shared" si="7"/>
        <v>1.7959999999999998</v>
      </c>
      <c r="F23" s="43">
        <v>2</v>
      </c>
      <c r="G23" s="47">
        <f t="shared" si="0"/>
        <v>0.77599999999999991</v>
      </c>
      <c r="H23" s="35">
        <v>4</v>
      </c>
      <c r="I23" s="47">
        <f t="shared" si="1"/>
        <v>0.32</v>
      </c>
      <c r="J23" s="35">
        <v>7</v>
      </c>
      <c r="K23" s="47">
        <f t="shared" si="2"/>
        <v>0.70000000000000007</v>
      </c>
      <c r="L23" s="35">
        <v>0</v>
      </c>
      <c r="M23" s="47">
        <f t="shared" si="3"/>
        <v>0</v>
      </c>
      <c r="N23" s="35">
        <v>0</v>
      </c>
      <c r="O23" s="50">
        <f t="shared" si="4"/>
        <v>0</v>
      </c>
      <c r="P23" s="20"/>
      <c r="Q23" s="63">
        <f t="shared" si="5"/>
        <v>1.1833333333333333</v>
      </c>
      <c r="R23" s="69">
        <f t="shared" si="8"/>
        <v>2.9793333333333329</v>
      </c>
      <c r="S23" s="72">
        <f t="shared" si="6"/>
        <v>0.83066666666666722</v>
      </c>
      <c r="T23" s="47">
        <f t="shared" si="9"/>
        <v>4.153333333333336</v>
      </c>
      <c r="U23" s="50">
        <f t="shared" si="10"/>
        <v>26.162500000000001</v>
      </c>
      <c r="V23" s="55"/>
      <c r="W23" s="84">
        <f t="shared" si="11"/>
        <v>49.699999999999989</v>
      </c>
      <c r="X23" s="84">
        <f t="shared" si="16"/>
        <v>42.254666666666665</v>
      </c>
      <c r="Y23" s="84">
        <f t="shared" si="12"/>
        <v>-7.4453333333333234</v>
      </c>
      <c r="Z23" s="84">
        <v>14</v>
      </c>
      <c r="AA23" s="83">
        <f t="shared" si="13"/>
        <v>16.566666666666666</v>
      </c>
      <c r="AB23" s="83">
        <f t="shared" si="14"/>
        <v>25.687999999999995</v>
      </c>
      <c r="AC23" s="83">
        <f t="shared" si="15"/>
        <v>26.162500000000001</v>
      </c>
      <c r="AD23" s="55"/>
      <c r="AE23" s="55"/>
      <c r="AF23" s="55"/>
    </row>
    <row r="24" spans="2:32" x14ac:dyDescent="0.2">
      <c r="B24" s="20">
        <v>14</v>
      </c>
      <c r="C24" s="24" t="s">
        <v>2</v>
      </c>
      <c r="D24" s="21">
        <v>15</v>
      </c>
      <c r="E24" s="53">
        <f t="shared" si="7"/>
        <v>1.5959999999999999</v>
      </c>
      <c r="F24" s="43">
        <v>2</v>
      </c>
      <c r="G24" s="47">
        <f t="shared" si="0"/>
        <v>0.77599999999999991</v>
      </c>
      <c r="H24" s="35">
        <v>4</v>
      </c>
      <c r="I24" s="47">
        <f t="shared" si="1"/>
        <v>0.32</v>
      </c>
      <c r="J24" s="35">
        <v>5</v>
      </c>
      <c r="K24" s="47">
        <f t="shared" si="2"/>
        <v>0.5</v>
      </c>
      <c r="L24" s="35">
        <v>0</v>
      </c>
      <c r="M24" s="47">
        <f t="shared" si="3"/>
        <v>0</v>
      </c>
      <c r="N24" s="35">
        <v>0</v>
      </c>
      <c r="O24" s="50">
        <f t="shared" si="4"/>
        <v>0</v>
      </c>
      <c r="P24" s="20"/>
      <c r="Q24" s="63">
        <f t="shared" si="5"/>
        <v>1.1833333333333333</v>
      </c>
      <c r="R24" s="69">
        <f t="shared" si="8"/>
        <v>2.7793333333333332</v>
      </c>
      <c r="S24" s="72">
        <f t="shared" si="6"/>
        <v>0.55586666666666673</v>
      </c>
      <c r="T24" s="47">
        <f t="shared" si="9"/>
        <v>2.7793333333333337</v>
      </c>
      <c r="U24" s="50">
        <f t="shared" si="10"/>
        <v>26.162500000000001</v>
      </c>
      <c r="V24" s="55"/>
      <c r="W24" s="84">
        <f t="shared" si="11"/>
        <v>53.249999999999986</v>
      </c>
      <c r="X24" s="84">
        <f t="shared" si="16"/>
        <v>45.033999999999999</v>
      </c>
      <c r="Y24" s="84">
        <f t="shared" si="12"/>
        <v>-8.2159999999999869</v>
      </c>
      <c r="Z24" s="84">
        <v>15</v>
      </c>
      <c r="AA24" s="83">
        <f t="shared" si="13"/>
        <v>17.75</v>
      </c>
      <c r="AB24" s="83">
        <f t="shared" si="14"/>
        <v>27.283999999999995</v>
      </c>
      <c r="AC24" s="83">
        <f t="shared" si="15"/>
        <v>26.162500000000001</v>
      </c>
      <c r="AD24" s="55"/>
      <c r="AE24" s="55"/>
      <c r="AF24" s="55"/>
    </row>
    <row r="25" spans="2:32" x14ac:dyDescent="0.2">
      <c r="B25" s="20">
        <v>15</v>
      </c>
      <c r="C25" s="24" t="s">
        <v>2</v>
      </c>
      <c r="D25" s="21">
        <v>16</v>
      </c>
      <c r="E25" s="53">
        <f t="shared" si="7"/>
        <v>2.2039999999999997</v>
      </c>
      <c r="F25" s="43">
        <v>3</v>
      </c>
      <c r="G25" s="47">
        <f t="shared" si="0"/>
        <v>1.1639999999999999</v>
      </c>
      <c r="H25" s="35">
        <v>8</v>
      </c>
      <c r="I25" s="47">
        <f t="shared" si="1"/>
        <v>0.64</v>
      </c>
      <c r="J25" s="35">
        <v>4</v>
      </c>
      <c r="K25" s="47">
        <f t="shared" si="2"/>
        <v>0.4</v>
      </c>
      <c r="L25" s="35">
        <v>0</v>
      </c>
      <c r="M25" s="47">
        <f t="shared" si="3"/>
        <v>0</v>
      </c>
      <c r="N25" s="35">
        <v>0</v>
      </c>
      <c r="O25" s="50">
        <f t="shared" si="4"/>
        <v>0</v>
      </c>
      <c r="P25" s="20"/>
      <c r="Q25" s="63">
        <f t="shared" si="5"/>
        <v>1.1833333333333333</v>
      </c>
      <c r="R25" s="69">
        <f t="shared" si="8"/>
        <v>3.3873333333333333</v>
      </c>
      <c r="S25" s="72">
        <f t="shared" si="6"/>
        <v>0.67746666666666688</v>
      </c>
      <c r="T25" s="47">
        <f t="shared" si="9"/>
        <v>3.3873333333333342</v>
      </c>
      <c r="U25" s="50">
        <f t="shared" si="10"/>
        <v>26.162500000000001</v>
      </c>
      <c r="V25" s="55"/>
      <c r="W25" s="84">
        <f t="shared" si="11"/>
        <v>56.799999999999983</v>
      </c>
      <c r="X25" s="84">
        <f t="shared" si="16"/>
        <v>48.42133333333333</v>
      </c>
      <c r="Y25" s="84">
        <f t="shared" si="12"/>
        <v>-8.3786666666666534</v>
      </c>
      <c r="Z25" s="84">
        <v>16</v>
      </c>
      <c r="AA25" s="83">
        <f t="shared" si="13"/>
        <v>18.933333333333334</v>
      </c>
      <c r="AB25" s="83">
        <f t="shared" si="14"/>
        <v>29.487999999999996</v>
      </c>
      <c r="AC25" s="83">
        <f t="shared" si="15"/>
        <v>26.162500000000001</v>
      </c>
      <c r="AD25" s="55"/>
      <c r="AE25" s="55"/>
      <c r="AF25" s="55"/>
    </row>
    <row r="26" spans="2:32" x14ac:dyDescent="0.2">
      <c r="B26" s="20">
        <v>16</v>
      </c>
      <c r="C26" s="24" t="s">
        <v>2</v>
      </c>
      <c r="D26" s="21">
        <v>17</v>
      </c>
      <c r="E26" s="53">
        <f t="shared" si="7"/>
        <v>4.7279999999999998</v>
      </c>
      <c r="F26" s="43">
        <v>6</v>
      </c>
      <c r="G26" s="47">
        <f t="shared" si="0"/>
        <v>2.3279999999999998</v>
      </c>
      <c r="H26" s="35">
        <v>25</v>
      </c>
      <c r="I26" s="47">
        <f t="shared" si="1"/>
        <v>2</v>
      </c>
      <c r="J26" s="35">
        <v>4</v>
      </c>
      <c r="K26" s="47">
        <f t="shared" si="2"/>
        <v>0.4</v>
      </c>
      <c r="L26" s="35">
        <v>0</v>
      </c>
      <c r="M26" s="47">
        <f t="shared" si="3"/>
        <v>0</v>
      </c>
      <c r="N26" s="35">
        <v>100</v>
      </c>
      <c r="O26" s="50">
        <f t="shared" si="4"/>
        <v>0</v>
      </c>
      <c r="P26" s="20"/>
      <c r="Q26" s="63">
        <f t="shared" si="5"/>
        <v>1.1833333333333333</v>
      </c>
      <c r="R26" s="69">
        <f t="shared" si="8"/>
        <v>5.9113333333333333</v>
      </c>
      <c r="S26" s="72">
        <f t="shared" si="6"/>
        <v>1</v>
      </c>
      <c r="T26" s="47">
        <f t="shared" si="9"/>
        <v>5</v>
      </c>
      <c r="U26" s="50">
        <f t="shared" si="10"/>
        <v>25.25116666666667</v>
      </c>
      <c r="V26" s="55"/>
      <c r="W26" s="84">
        <f t="shared" si="11"/>
        <v>60.34999999999998</v>
      </c>
      <c r="X26" s="84">
        <f t="shared" si="16"/>
        <v>54.332666666666661</v>
      </c>
      <c r="Y26" s="84">
        <f t="shared" si="12"/>
        <v>-6.017333333333319</v>
      </c>
      <c r="Z26" s="84">
        <v>17</v>
      </c>
      <c r="AA26" s="83">
        <f t="shared" si="13"/>
        <v>20.116666666666667</v>
      </c>
      <c r="AB26" s="83">
        <f t="shared" si="14"/>
        <v>34.215999999999994</v>
      </c>
      <c r="AC26" s="83">
        <f t="shared" si="15"/>
        <v>25.25116666666667</v>
      </c>
      <c r="AD26" s="55"/>
      <c r="AE26" s="55"/>
      <c r="AF26" s="55"/>
    </row>
    <row r="27" spans="2:32" x14ac:dyDescent="0.2">
      <c r="B27" s="20">
        <v>17</v>
      </c>
      <c r="C27" s="24" t="s">
        <v>2</v>
      </c>
      <c r="D27" s="21">
        <v>18</v>
      </c>
      <c r="E27" s="53">
        <f t="shared" si="7"/>
        <v>9.6760000000000002</v>
      </c>
      <c r="F27" s="43">
        <v>22</v>
      </c>
      <c r="G27" s="47">
        <f t="shared" si="0"/>
        <v>8.5359999999999996</v>
      </c>
      <c r="H27" s="35">
        <v>8</v>
      </c>
      <c r="I27" s="47">
        <f t="shared" si="1"/>
        <v>0.64</v>
      </c>
      <c r="J27" s="35">
        <v>5</v>
      </c>
      <c r="K27" s="47">
        <f t="shared" si="2"/>
        <v>0.5</v>
      </c>
      <c r="L27" s="35">
        <v>20</v>
      </c>
      <c r="M27" s="47">
        <f t="shared" si="3"/>
        <v>0</v>
      </c>
      <c r="N27" s="35">
        <v>0</v>
      </c>
      <c r="O27" s="50">
        <f t="shared" si="4"/>
        <v>0</v>
      </c>
      <c r="P27" s="20"/>
      <c r="Q27" s="63">
        <f t="shared" si="5"/>
        <v>1.1833333333333333</v>
      </c>
      <c r="R27" s="69">
        <f t="shared" si="8"/>
        <v>10.859333333333334</v>
      </c>
      <c r="S27" s="72">
        <f t="shared" si="6"/>
        <v>1</v>
      </c>
      <c r="T27" s="47">
        <f t="shared" si="9"/>
        <v>5</v>
      </c>
      <c r="U27" s="50">
        <f t="shared" si="10"/>
        <v>19.391833333333338</v>
      </c>
      <c r="V27" s="55"/>
      <c r="W27" s="84">
        <f t="shared" si="11"/>
        <v>63.899999999999977</v>
      </c>
      <c r="X27" s="84">
        <f t="shared" si="16"/>
        <v>65.191999999999993</v>
      </c>
      <c r="Y27" s="84">
        <f t="shared" si="12"/>
        <v>1.2920000000000158</v>
      </c>
      <c r="Z27" s="84">
        <v>18</v>
      </c>
      <c r="AA27" s="83">
        <f t="shared" si="13"/>
        <v>21.3</v>
      </c>
      <c r="AB27" s="83">
        <f t="shared" si="14"/>
        <v>43.891999999999996</v>
      </c>
      <c r="AC27" s="83">
        <f t="shared" si="15"/>
        <v>19.391833333333338</v>
      </c>
      <c r="AD27" s="55"/>
      <c r="AE27" s="55"/>
      <c r="AF27" s="55"/>
    </row>
    <row r="28" spans="2:32" x14ac:dyDescent="0.2">
      <c r="B28" s="20">
        <v>18</v>
      </c>
      <c r="C28" s="24" t="s">
        <v>2</v>
      </c>
      <c r="D28" s="21">
        <v>19</v>
      </c>
      <c r="E28" s="53">
        <f t="shared" si="7"/>
        <v>5.4959999999999996</v>
      </c>
      <c r="F28" s="43">
        <v>12</v>
      </c>
      <c r="G28" s="47">
        <f t="shared" si="0"/>
        <v>4.6559999999999997</v>
      </c>
      <c r="H28" s="35">
        <v>3</v>
      </c>
      <c r="I28" s="47">
        <f t="shared" si="1"/>
        <v>0.24</v>
      </c>
      <c r="J28" s="35">
        <v>6</v>
      </c>
      <c r="K28" s="47">
        <f t="shared" si="2"/>
        <v>0.6</v>
      </c>
      <c r="L28" s="35">
        <v>20</v>
      </c>
      <c r="M28" s="47">
        <f t="shared" si="3"/>
        <v>0</v>
      </c>
      <c r="N28" s="35">
        <v>0</v>
      </c>
      <c r="O28" s="50">
        <f t="shared" si="4"/>
        <v>0</v>
      </c>
      <c r="P28" s="20"/>
      <c r="Q28" s="63">
        <f t="shared" si="5"/>
        <v>1.1833333333333333</v>
      </c>
      <c r="R28" s="69">
        <f t="shared" si="8"/>
        <v>6.6793333333333331</v>
      </c>
      <c r="S28" s="72">
        <f t="shared" si="6"/>
        <v>1</v>
      </c>
      <c r="T28" s="47">
        <f t="shared" si="9"/>
        <v>5</v>
      </c>
      <c r="U28" s="50">
        <f t="shared" si="10"/>
        <v>17.712500000000006</v>
      </c>
      <c r="V28" s="55"/>
      <c r="W28" s="84">
        <f t="shared" si="11"/>
        <v>67.449999999999974</v>
      </c>
      <c r="X28" s="84">
        <f t="shared" si="16"/>
        <v>71.871333333333325</v>
      </c>
      <c r="Y28" s="84">
        <f t="shared" si="12"/>
        <v>4.4213333333333509</v>
      </c>
      <c r="Z28" s="84">
        <v>19</v>
      </c>
      <c r="AA28" s="83">
        <f t="shared" si="13"/>
        <v>22.483333333333334</v>
      </c>
      <c r="AB28" s="83">
        <f t="shared" si="14"/>
        <v>49.387999999999998</v>
      </c>
      <c r="AC28" s="83">
        <f t="shared" si="15"/>
        <v>17.712500000000006</v>
      </c>
      <c r="AD28" s="55"/>
      <c r="AE28" s="55"/>
      <c r="AF28" s="55"/>
    </row>
    <row r="29" spans="2:32" x14ac:dyDescent="0.2">
      <c r="B29" s="20">
        <v>19</v>
      </c>
      <c r="C29" s="24" t="s">
        <v>2</v>
      </c>
      <c r="D29" s="21">
        <v>20</v>
      </c>
      <c r="E29" s="53">
        <f t="shared" si="7"/>
        <v>3.4960000000000004</v>
      </c>
      <c r="F29" s="43">
        <v>7</v>
      </c>
      <c r="G29" s="47">
        <f t="shared" si="0"/>
        <v>2.7160000000000002</v>
      </c>
      <c r="H29" s="35">
        <v>1</v>
      </c>
      <c r="I29" s="47">
        <f t="shared" si="1"/>
        <v>0.08</v>
      </c>
      <c r="J29" s="35">
        <v>7</v>
      </c>
      <c r="K29" s="47">
        <f t="shared" si="2"/>
        <v>0.70000000000000007</v>
      </c>
      <c r="L29" s="35">
        <v>20</v>
      </c>
      <c r="M29" s="47">
        <f t="shared" si="3"/>
        <v>0</v>
      </c>
      <c r="N29" s="35">
        <v>0</v>
      </c>
      <c r="O29" s="50">
        <f t="shared" si="4"/>
        <v>0</v>
      </c>
      <c r="P29" s="20"/>
      <c r="Q29" s="63">
        <f t="shared" si="5"/>
        <v>1.1833333333333333</v>
      </c>
      <c r="R29" s="69">
        <f t="shared" si="8"/>
        <v>4.679333333333334</v>
      </c>
      <c r="S29" s="72">
        <f t="shared" si="6"/>
        <v>1</v>
      </c>
      <c r="T29" s="47">
        <f t="shared" si="9"/>
        <v>5</v>
      </c>
      <c r="U29" s="50">
        <f t="shared" si="10"/>
        <v>18.033166666666673</v>
      </c>
      <c r="V29" s="55"/>
      <c r="W29" s="84">
        <f t="shared" si="11"/>
        <v>70.999999999999972</v>
      </c>
      <c r="X29" s="84">
        <f t="shared" si="16"/>
        <v>76.550666666666658</v>
      </c>
      <c r="Y29" s="84">
        <f t="shared" si="12"/>
        <v>5.550666666666686</v>
      </c>
      <c r="Z29" s="84">
        <v>20</v>
      </c>
      <c r="AA29" s="83">
        <f t="shared" si="13"/>
        <v>23.666666666666668</v>
      </c>
      <c r="AB29" s="83">
        <f t="shared" si="14"/>
        <v>52.884</v>
      </c>
      <c r="AC29" s="83">
        <f t="shared" si="15"/>
        <v>18.033166666666673</v>
      </c>
      <c r="AD29" s="55"/>
      <c r="AE29" s="55"/>
      <c r="AF29" s="55"/>
    </row>
    <row r="30" spans="2:32" x14ac:dyDescent="0.2">
      <c r="B30" s="20">
        <v>20</v>
      </c>
      <c r="C30" s="24" t="s">
        <v>2</v>
      </c>
      <c r="D30" s="21">
        <v>21</v>
      </c>
      <c r="E30" s="53">
        <f t="shared" si="7"/>
        <v>1.8639999999999999</v>
      </c>
      <c r="F30" s="43">
        <v>3</v>
      </c>
      <c r="G30" s="47">
        <f t="shared" si="0"/>
        <v>1.1639999999999999</v>
      </c>
      <c r="H30" s="35">
        <v>0</v>
      </c>
      <c r="I30" s="47">
        <f t="shared" si="1"/>
        <v>0</v>
      </c>
      <c r="J30" s="35">
        <v>7</v>
      </c>
      <c r="K30" s="47">
        <f t="shared" si="2"/>
        <v>0.70000000000000007</v>
      </c>
      <c r="L30" s="35">
        <v>0</v>
      </c>
      <c r="M30" s="47">
        <f t="shared" si="3"/>
        <v>0</v>
      </c>
      <c r="N30" s="35">
        <v>0</v>
      </c>
      <c r="O30" s="50">
        <f t="shared" si="4"/>
        <v>0</v>
      </c>
      <c r="P30" s="20"/>
      <c r="Q30" s="63">
        <f t="shared" si="5"/>
        <v>1.1833333333333333</v>
      </c>
      <c r="R30" s="69">
        <f t="shared" si="8"/>
        <v>3.0473333333333334</v>
      </c>
      <c r="S30" s="72">
        <f t="shared" si="6"/>
        <v>1</v>
      </c>
      <c r="T30" s="47">
        <f t="shared" si="9"/>
        <v>5</v>
      </c>
      <c r="U30" s="50">
        <f t="shared" si="10"/>
        <v>19.985833333333339</v>
      </c>
      <c r="V30" s="55"/>
      <c r="W30" s="84">
        <f t="shared" si="11"/>
        <v>74.549999999999969</v>
      </c>
      <c r="X30" s="84">
        <f t="shared" si="16"/>
        <v>79.597999999999985</v>
      </c>
      <c r="Y30" s="84">
        <f t="shared" si="12"/>
        <v>5.048000000000016</v>
      </c>
      <c r="Z30" s="84">
        <v>21</v>
      </c>
      <c r="AA30" s="83">
        <f t="shared" si="13"/>
        <v>24.85</v>
      </c>
      <c r="AB30" s="83">
        <f t="shared" si="14"/>
        <v>54.747999999999998</v>
      </c>
      <c r="AC30" s="83">
        <f t="shared" si="15"/>
        <v>19.985833333333339</v>
      </c>
      <c r="AD30" s="55"/>
      <c r="AE30" s="55"/>
      <c r="AF30" s="55"/>
    </row>
    <row r="31" spans="2:32" x14ac:dyDescent="0.2">
      <c r="B31" s="20">
        <v>21</v>
      </c>
      <c r="C31" s="24" t="s">
        <v>2</v>
      </c>
      <c r="D31" s="21">
        <v>22</v>
      </c>
      <c r="E31" s="53">
        <f t="shared" si="7"/>
        <v>1.0759999999999998</v>
      </c>
      <c r="F31" s="43">
        <v>2</v>
      </c>
      <c r="G31" s="47">
        <f t="shared" si="0"/>
        <v>0.77599999999999991</v>
      </c>
      <c r="H31" s="35">
        <v>0</v>
      </c>
      <c r="I31" s="47">
        <f t="shared" si="1"/>
        <v>0</v>
      </c>
      <c r="J31" s="35">
        <v>3</v>
      </c>
      <c r="K31" s="47">
        <f t="shared" si="2"/>
        <v>0.3</v>
      </c>
      <c r="L31" s="35">
        <v>0</v>
      </c>
      <c r="M31" s="47">
        <f t="shared" si="3"/>
        <v>0</v>
      </c>
      <c r="N31" s="35">
        <v>0</v>
      </c>
      <c r="O31" s="50">
        <f t="shared" si="4"/>
        <v>0</v>
      </c>
      <c r="P31" s="20"/>
      <c r="Q31" s="63">
        <f t="shared" si="5"/>
        <v>1.1833333333333333</v>
      </c>
      <c r="R31" s="69">
        <f t="shared" si="8"/>
        <v>2.2593333333333332</v>
      </c>
      <c r="S31" s="72">
        <f t="shared" si="6"/>
        <v>1</v>
      </c>
      <c r="T31" s="47">
        <f t="shared" si="9"/>
        <v>5</v>
      </c>
      <c r="U31" s="50">
        <f t="shared" si="10"/>
        <v>22.726500000000005</v>
      </c>
      <c r="V31" s="55"/>
      <c r="W31" s="84">
        <f t="shared" si="11"/>
        <v>78.099999999999966</v>
      </c>
      <c r="X31" s="84">
        <f t="shared" si="16"/>
        <v>81.857333333333315</v>
      </c>
      <c r="Y31" s="84">
        <f t="shared" si="12"/>
        <v>3.7573333333333494</v>
      </c>
      <c r="Z31" s="84">
        <v>22</v>
      </c>
      <c r="AA31" s="83">
        <f t="shared" si="13"/>
        <v>26.033333333333335</v>
      </c>
      <c r="AB31" s="83">
        <f t="shared" si="14"/>
        <v>55.823999999999998</v>
      </c>
      <c r="AC31" s="83">
        <f t="shared" si="15"/>
        <v>22.726500000000005</v>
      </c>
      <c r="AD31" s="55"/>
      <c r="AE31" s="55"/>
      <c r="AF31" s="55"/>
    </row>
    <row r="32" spans="2:32" x14ac:dyDescent="0.2">
      <c r="B32" s="20">
        <v>22</v>
      </c>
      <c r="C32" s="24" t="s">
        <v>2</v>
      </c>
      <c r="D32" s="21">
        <v>23</v>
      </c>
      <c r="E32" s="53">
        <f t="shared" si="7"/>
        <v>0.48799999999999999</v>
      </c>
      <c r="F32" s="43">
        <v>1</v>
      </c>
      <c r="G32" s="47">
        <f t="shared" si="0"/>
        <v>0.38799999999999996</v>
      </c>
      <c r="H32" s="35">
        <v>0</v>
      </c>
      <c r="I32" s="47">
        <f t="shared" si="1"/>
        <v>0</v>
      </c>
      <c r="J32" s="35">
        <v>1</v>
      </c>
      <c r="K32" s="47">
        <f t="shared" si="2"/>
        <v>0.1</v>
      </c>
      <c r="L32" s="35">
        <v>0</v>
      </c>
      <c r="M32" s="47">
        <f t="shared" si="3"/>
        <v>0</v>
      </c>
      <c r="N32" s="35">
        <v>0</v>
      </c>
      <c r="O32" s="50">
        <f t="shared" si="4"/>
        <v>0</v>
      </c>
      <c r="P32" s="20"/>
      <c r="Q32" s="63">
        <f t="shared" si="5"/>
        <v>1.1833333333333333</v>
      </c>
      <c r="R32" s="69">
        <f t="shared" si="8"/>
        <v>1.6713333333333333</v>
      </c>
      <c r="S32" s="72">
        <f t="shared" si="6"/>
        <v>1</v>
      </c>
      <c r="T32" s="47">
        <f t="shared" si="9"/>
        <v>5</v>
      </c>
      <c r="U32" s="50">
        <f t="shared" si="10"/>
        <v>26.055166666666672</v>
      </c>
      <c r="V32" s="55"/>
      <c r="W32" s="84">
        <f t="shared" si="11"/>
        <v>81.649999999999963</v>
      </c>
      <c r="X32" s="84">
        <f t="shared" si="16"/>
        <v>83.528666666666652</v>
      </c>
      <c r="Y32" s="84">
        <f t="shared" si="12"/>
        <v>1.8786666666666889</v>
      </c>
      <c r="Z32" s="84">
        <v>23</v>
      </c>
      <c r="AA32" s="83">
        <f t="shared" si="13"/>
        <v>27.216666666666669</v>
      </c>
      <c r="AB32" s="83">
        <f t="shared" si="14"/>
        <v>56.311999999999998</v>
      </c>
      <c r="AC32" s="83">
        <f t="shared" si="15"/>
        <v>26.055166666666672</v>
      </c>
      <c r="AD32" s="55"/>
      <c r="AE32" s="55"/>
      <c r="AF32" s="55"/>
    </row>
    <row r="33" spans="2:29" ht="13.5" thickBot="1" x14ac:dyDescent="0.25">
      <c r="B33" s="25">
        <v>23</v>
      </c>
      <c r="C33" s="26" t="s">
        <v>2</v>
      </c>
      <c r="D33" s="27">
        <v>24</v>
      </c>
      <c r="E33" s="54">
        <f t="shared" si="7"/>
        <v>0.48799999999999999</v>
      </c>
      <c r="F33" s="44">
        <v>1</v>
      </c>
      <c r="G33" s="48">
        <f t="shared" si="0"/>
        <v>0.38799999999999996</v>
      </c>
      <c r="H33" s="45">
        <v>0</v>
      </c>
      <c r="I33" s="48">
        <f t="shared" si="1"/>
        <v>0</v>
      </c>
      <c r="J33" s="45">
        <v>1</v>
      </c>
      <c r="K33" s="48">
        <f t="shared" si="2"/>
        <v>0.1</v>
      </c>
      <c r="L33" s="45">
        <v>0</v>
      </c>
      <c r="M33" s="48">
        <f t="shared" si="3"/>
        <v>0</v>
      </c>
      <c r="N33" s="45">
        <v>0</v>
      </c>
      <c r="O33" s="51">
        <f t="shared" si="4"/>
        <v>0</v>
      </c>
      <c r="P33" s="22"/>
      <c r="Q33" s="64">
        <f t="shared" si="5"/>
        <v>1.1833333333333333</v>
      </c>
      <c r="R33" s="70">
        <f t="shared" si="8"/>
        <v>1.6713333333333333</v>
      </c>
      <c r="S33" s="73">
        <f t="shared" si="6"/>
        <v>0.35573333333333251</v>
      </c>
      <c r="T33" s="48">
        <f t="shared" si="9"/>
        <v>1.7786666666666626</v>
      </c>
      <c r="U33" s="51">
        <f t="shared" si="10"/>
        <v>26.162500000000001</v>
      </c>
      <c r="W33" s="84">
        <f t="shared" si="11"/>
        <v>85.19999999999996</v>
      </c>
      <c r="X33" s="84">
        <f t="shared" si="16"/>
        <v>85.199999999999989</v>
      </c>
      <c r="Y33" s="84">
        <f t="shared" si="12"/>
        <v>0</v>
      </c>
      <c r="Z33" s="84">
        <v>24</v>
      </c>
      <c r="AA33" s="83">
        <f t="shared" si="13"/>
        <v>28.400000000000002</v>
      </c>
      <c r="AB33" s="83">
        <f t="shared" si="14"/>
        <v>56.8</v>
      </c>
      <c r="AC33" s="83">
        <f t="shared" si="15"/>
        <v>26.162500000000001</v>
      </c>
    </row>
    <row r="34" spans="2:29" x14ac:dyDescent="0.2">
      <c r="B34" s="28" t="s">
        <v>3</v>
      </c>
      <c r="C34" s="29"/>
      <c r="D34" s="33" t="s">
        <v>9</v>
      </c>
      <c r="E34" s="66"/>
      <c r="F34" s="40">
        <f>SUM(F10:F33)</f>
        <v>100</v>
      </c>
      <c r="G34" s="7"/>
      <c r="H34" s="41">
        <f>SUM(H10:H33)</f>
        <v>100</v>
      </c>
      <c r="I34" s="7"/>
      <c r="J34" s="41">
        <f>SUM(J10:J33)</f>
        <v>100</v>
      </c>
      <c r="K34" s="7"/>
      <c r="L34" s="41">
        <f>SUM(L10:L33)</f>
        <v>100</v>
      </c>
      <c r="M34" s="7"/>
      <c r="N34" s="41">
        <f>SUM(N10:N33)</f>
        <v>100</v>
      </c>
      <c r="O34" s="8"/>
      <c r="P34" s="57"/>
      <c r="Q34" s="61"/>
      <c r="R34" s="180">
        <f>SUM(R10:R33)</f>
        <v>85.199999999999989</v>
      </c>
      <c r="W34" s="85"/>
      <c r="X34" s="85"/>
      <c r="Y34" s="85"/>
      <c r="Z34" s="85"/>
      <c r="AA34" s="85"/>
      <c r="AB34" s="85"/>
      <c r="AC34" s="85"/>
    </row>
    <row r="35" spans="2:29" ht="13.5" thickBot="1" x14ac:dyDescent="0.25">
      <c r="B35" s="30"/>
      <c r="C35" s="31"/>
      <c r="D35" s="32" t="s">
        <v>10</v>
      </c>
      <c r="E35" s="65">
        <f>SUM(E10:E33)</f>
        <v>56.8</v>
      </c>
      <c r="F35" s="157">
        <f>uzi</f>
        <v>38.799999999999997</v>
      </c>
      <c r="G35" s="169"/>
      <c r="H35" s="156">
        <f>per</f>
        <v>8</v>
      </c>
      <c r="I35" s="157"/>
      <c r="J35" s="156">
        <f>gas</f>
        <v>10</v>
      </c>
      <c r="K35" s="157"/>
      <c r="L35" s="156">
        <f>ukl</f>
        <v>0</v>
      </c>
      <c r="M35" s="157"/>
      <c r="N35" s="156">
        <f>ost</f>
        <v>0</v>
      </c>
      <c r="O35" s="158"/>
      <c r="P35" s="178">
        <f>SUM(Q10:Q33)</f>
        <v>28.400000000000002</v>
      </c>
      <c r="Q35" s="179"/>
      <c r="R35" s="181"/>
      <c r="W35" s="85"/>
      <c r="X35" s="85" t="s">
        <v>62</v>
      </c>
      <c r="Y35" s="84">
        <f>MIN(Y10:Y33)</f>
        <v>-14.801333333333332</v>
      </c>
      <c r="Z35" s="84"/>
      <c r="AA35" s="85"/>
      <c r="AB35" s="85"/>
      <c r="AC35" s="85"/>
    </row>
    <row r="36" spans="2:29" x14ac:dyDescent="0.2">
      <c r="W36" s="85"/>
      <c r="X36" s="85" t="s">
        <v>63</v>
      </c>
      <c r="Y36" s="84">
        <f>MAX(Y10:Y33)</f>
        <v>5.550666666666686</v>
      </c>
      <c r="Z36" s="84"/>
      <c r="AA36" s="85"/>
      <c r="AB36" s="85"/>
      <c r="AC36" s="85"/>
    </row>
    <row r="37" spans="2:29" x14ac:dyDescent="0.2">
      <c r="W37" s="85"/>
      <c r="X37" s="85"/>
      <c r="Y37" s="84">
        <f>Y36-Y35</f>
        <v>20.352000000000018</v>
      </c>
      <c r="Z37" s="84"/>
      <c r="AA37" s="85"/>
      <c r="AB37" s="85"/>
      <c r="AC37" s="85"/>
    </row>
    <row r="39" spans="2:29" x14ac:dyDescent="0.2">
      <c r="B39" t="s">
        <v>12</v>
      </c>
    </row>
    <row r="40" spans="2:29" x14ac:dyDescent="0.2">
      <c r="C40" t="s">
        <v>104</v>
      </c>
      <c r="G40" s="55">
        <f>spot/24</f>
        <v>3.5499999999999994</v>
      </c>
      <c r="H40" t="s">
        <v>15</v>
      </c>
    </row>
    <row r="41" spans="2:29" ht="14.25" x14ac:dyDescent="0.2">
      <c r="C41" t="s">
        <v>14</v>
      </c>
      <c r="G41" s="71">
        <f>J41*3600/4186/45</f>
        <v>0.38895365504061197</v>
      </c>
      <c r="H41" t="s">
        <v>16</v>
      </c>
      <c r="I41" s="38" t="s">
        <v>54</v>
      </c>
      <c r="J41" s="55">
        <f>Y37</f>
        <v>20.352000000000018</v>
      </c>
      <c r="K41" t="s">
        <v>10</v>
      </c>
    </row>
    <row r="42" spans="2:29" x14ac:dyDescent="0.2">
      <c r="B42" t="s">
        <v>13</v>
      </c>
      <c r="I42" s="38"/>
    </row>
    <row r="43" spans="2:29" x14ac:dyDescent="0.2">
      <c r="C43" s="88" t="s">
        <v>104</v>
      </c>
      <c r="D43" s="88"/>
      <c r="E43" s="88"/>
      <c r="F43" s="88"/>
      <c r="G43" s="112">
        <v>19</v>
      </c>
      <c r="H43" s="88" t="s">
        <v>15</v>
      </c>
      <c r="I43" s="38"/>
    </row>
    <row r="44" spans="2:29" ht="14.25" x14ac:dyDescent="0.2">
      <c r="C44" s="88" t="s">
        <v>14</v>
      </c>
      <c r="D44" s="88"/>
      <c r="E44" s="88"/>
      <c r="F44" s="88"/>
      <c r="G44" s="112">
        <v>2</v>
      </c>
      <c r="H44" s="88" t="s">
        <v>78</v>
      </c>
      <c r="I44" s="38" t="s">
        <v>54</v>
      </c>
      <c r="J44">
        <f>G44*4186*45/3600</f>
        <v>104.65</v>
      </c>
      <c r="K44" t="s">
        <v>10</v>
      </c>
    </row>
    <row r="45" spans="2:29" x14ac:dyDescent="0.2">
      <c r="C45" t="s">
        <v>58</v>
      </c>
      <c r="G45" s="82">
        <v>42</v>
      </c>
      <c r="H45" t="s">
        <v>10</v>
      </c>
      <c r="I45" t="s">
        <v>64</v>
      </c>
    </row>
    <row r="47" spans="2:29" x14ac:dyDescent="0.2">
      <c r="B47" s="3" t="s">
        <v>17</v>
      </c>
    </row>
    <row r="48" spans="2:29" x14ac:dyDescent="0.2">
      <c r="B48" t="s">
        <v>41</v>
      </c>
      <c r="G48" s="39">
        <f>G49*J49+G50*J50+G51*J51+G52*J52+G53*J53</f>
        <v>110.00000000000001</v>
      </c>
      <c r="H48" t="s">
        <v>10</v>
      </c>
    </row>
    <row r="49" spans="2:11" x14ac:dyDescent="0.2">
      <c r="C49" t="s">
        <v>19</v>
      </c>
      <c r="G49" s="4">
        <v>0</v>
      </c>
      <c r="H49" t="s">
        <v>18</v>
      </c>
      <c r="I49" s="38"/>
      <c r="J49">
        <v>4.3</v>
      </c>
      <c r="K49" t="s">
        <v>32</v>
      </c>
    </row>
    <row r="50" spans="2:11" x14ac:dyDescent="0.2">
      <c r="C50" t="s">
        <v>20</v>
      </c>
      <c r="G50" s="4">
        <v>0</v>
      </c>
      <c r="H50" t="s">
        <v>18</v>
      </c>
      <c r="I50" s="38"/>
      <c r="J50">
        <v>3.5</v>
      </c>
      <c r="K50" t="s">
        <v>32</v>
      </c>
    </row>
    <row r="51" spans="2:11" x14ac:dyDescent="0.2">
      <c r="C51" t="s">
        <v>21</v>
      </c>
      <c r="G51" s="4">
        <v>0</v>
      </c>
      <c r="H51" t="s">
        <v>18</v>
      </c>
      <c r="I51" s="38"/>
      <c r="J51">
        <v>2.5</v>
      </c>
      <c r="K51" t="s">
        <v>32</v>
      </c>
    </row>
    <row r="52" spans="2:11" x14ac:dyDescent="0.2">
      <c r="C52" t="s">
        <v>22</v>
      </c>
      <c r="G52" s="4">
        <v>0</v>
      </c>
      <c r="H52" t="s">
        <v>23</v>
      </c>
      <c r="I52" s="38"/>
      <c r="J52">
        <v>10</v>
      </c>
      <c r="K52" t="s">
        <v>32</v>
      </c>
    </row>
    <row r="53" spans="2:11" x14ac:dyDescent="0.2">
      <c r="C53" t="s">
        <v>38</v>
      </c>
      <c r="G53" s="4">
        <v>50</v>
      </c>
      <c r="H53" t="s">
        <v>39</v>
      </c>
      <c r="I53" s="38"/>
      <c r="J53">
        <v>2.2000000000000002</v>
      </c>
      <c r="K53" t="s">
        <v>40</v>
      </c>
    </row>
    <row r="54" spans="2:11" x14ac:dyDescent="0.2">
      <c r="B54" t="s">
        <v>42</v>
      </c>
      <c r="G54" s="39">
        <f>G55*J55+G56*J56</f>
        <v>46</v>
      </c>
      <c r="H54" t="s">
        <v>10</v>
      </c>
    </row>
    <row r="55" spans="2:11" x14ac:dyDescent="0.2">
      <c r="C55" t="s">
        <v>24</v>
      </c>
      <c r="G55" s="4">
        <v>30</v>
      </c>
      <c r="H55" t="s">
        <v>18</v>
      </c>
      <c r="I55" s="38"/>
      <c r="J55">
        <v>0.8</v>
      </c>
      <c r="K55" t="s">
        <v>31</v>
      </c>
    </row>
    <row r="56" spans="2:11" x14ac:dyDescent="0.2">
      <c r="C56" t="s">
        <v>25</v>
      </c>
      <c r="G56" s="4">
        <v>10</v>
      </c>
      <c r="H56" t="s">
        <v>18</v>
      </c>
      <c r="I56" s="38"/>
      <c r="J56">
        <v>2.2000000000000002</v>
      </c>
      <c r="K56" t="s">
        <v>31</v>
      </c>
    </row>
    <row r="57" spans="2:11" x14ac:dyDescent="0.2">
      <c r="B57" t="s">
        <v>43</v>
      </c>
      <c r="G57" s="39">
        <f>G58*J58+G59*J59+G60*J60</f>
        <v>60</v>
      </c>
      <c r="H57" t="s">
        <v>10</v>
      </c>
    </row>
    <row r="58" spans="2:11" x14ac:dyDescent="0.2">
      <c r="C58" t="s">
        <v>26</v>
      </c>
      <c r="G58" s="4">
        <v>400</v>
      </c>
      <c r="H58" t="s">
        <v>29</v>
      </c>
      <c r="I58" s="38"/>
      <c r="J58">
        <v>0.1</v>
      </c>
      <c r="K58" t="s">
        <v>30</v>
      </c>
    </row>
    <row r="59" spans="2:11" x14ac:dyDescent="0.2">
      <c r="C59" t="s">
        <v>27</v>
      </c>
      <c r="G59" s="4">
        <v>0</v>
      </c>
      <c r="H59" t="s">
        <v>29</v>
      </c>
      <c r="I59" s="38"/>
      <c r="J59">
        <v>0.15</v>
      </c>
      <c r="K59" t="s">
        <v>30</v>
      </c>
    </row>
    <row r="60" spans="2:11" x14ac:dyDescent="0.2">
      <c r="C60" t="s">
        <v>28</v>
      </c>
      <c r="G60" s="4">
        <v>100</v>
      </c>
      <c r="H60" t="s">
        <v>29</v>
      </c>
      <c r="I60" s="38"/>
      <c r="J60">
        <v>0.2</v>
      </c>
      <c r="K60" t="s">
        <v>30</v>
      </c>
    </row>
    <row r="61" spans="2:11" x14ac:dyDescent="0.2">
      <c r="B61" t="s">
        <v>44</v>
      </c>
      <c r="G61" s="39">
        <f>F62*J62/100</f>
        <v>80</v>
      </c>
      <c r="H61" t="s">
        <v>10</v>
      </c>
    </row>
    <row r="62" spans="2:11" ht="14.25" x14ac:dyDescent="0.2">
      <c r="C62" t="s">
        <v>33</v>
      </c>
      <c r="F62" s="172">
        <v>10000</v>
      </c>
      <c r="G62" s="172"/>
      <c r="H62" t="s">
        <v>35</v>
      </c>
      <c r="I62" s="38"/>
      <c r="J62">
        <v>0.8</v>
      </c>
      <c r="K62" t="s">
        <v>34</v>
      </c>
    </row>
    <row r="63" spans="2:11" x14ac:dyDescent="0.2">
      <c r="B63" t="s">
        <v>45</v>
      </c>
      <c r="G63" s="39">
        <f>G64*4186*45/3600</f>
        <v>0</v>
      </c>
      <c r="H63" t="s">
        <v>10</v>
      </c>
    </row>
    <row r="64" spans="2:11" ht="14.25" x14ac:dyDescent="0.2">
      <c r="C64" t="s">
        <v>36</v>
      </c>
      <c r="G64" s="4">
        <v>0</v>
      </c>
      <c r="H64" t="s">
        <v>37</v>
      </c>
    </row>
    <row r="65" spans="13:13" x14ac:dyDescent="0.2">
      <c r="M65" s="38"/>
    </row>
  </sheetData>
  <mergeCells count="25">
    <mergeCell ref="F62:G62"/>
    <mergeCell ref="R34:R35"/>
    <mergeCell ref="F35:G35"/>
    <mergeCell ref="H35:I35"/>
    <mergeCell ref="J35:K35"/>
    <mergeCell ref="L35:M35"/>
    <mergeCell ref="N35:O35"/>
    <mergeCell ref="P35:Q35"/>
    <mergeCell ref="N8:O8"/>
    <mergeCell ref="P8:Q8"/>
    <mergeCell ref="S8:T8"/>
    <mergeCell ref="E7:O7"/>
    <mergeCell ref="P7:Q7"/>
    <mergeCell ref="S7:T7"/>
    <mergeCell ref="B8:D8"/>
    <mergeCell ref="F8:G8"/>
    <mergeCell ref="H8:I8"/>
    <mergeCell ref="J8:K8"/>
    <mergeCell ref="L8:M8"/>
    <mergeCell ref="A2:E2"/>
    <mergeCell ref="A3:E3"/>
    <mergeCell ref="A4:E4"/>
    <mergeCell ref="A5:E5"/>
    <mergeCell ref="Z7:AC7"/>
    <mergeCell ref="W7:Y7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E553-CDF8-4459-8BC9-CFE12AAFEE31}">
  <dimension ref="B1:F22"/>
  <sheetViews>
    <sheetView workbookViewId="0">
      <selection activeCell="M4" sqref="M4"/>
    </sheetView>
  </sheetViews>
  <sheetFormatPr defaultRowHeight="12.75" x14ac:dyDescent="0.2"/>
  <cols>
    <col min="3" max="3" width="81.140625" customWidth="1"/>
  </cols>
  <sheetData>
    <row r="1" spans="2:6" ht="82.9" customHeight="1" x14ac:dyDescent="0.2"/>
    <row r="3" spans="2:6" ht="15" x14ac:dyDescent="0.25">
      <c r="C3" s="135" t="s">
        <v>179</v>
      </c>
    </row>
    <row r="4" spans="2:6" ht="165.75" x14ac:dyDescent="0.2">
      <c r="C4" s="147" t="s">
        <v>180</v>
      </c>
    </row>
    <row r="5" spans="2:6" x14ac:dyDescent="0.2">
      <c r="C5" s="147"/>
    </row>
    <row r="6" spans="2:6" x14ac:dyDescent="0.2">
      <c r="C6" t="s">
        <v>181</v>
      </c>
    </row>
    <row r="7" spans="2:6" x14ac:dyDescent="0.2">
      <c r="B7" s="148" t="s">
        <v>182</v>
      </c>
      <c r="C7" s="148"/>
    </row>
    <row r="8" spans="2:6" x14ac:dyDescent="0.2">
      <c r="B8" s="112"/>
      <c r="C8" s="148" t="s">
        <v>183</v>
      </c>
      <c r="F8" s="88"/>
    </row>
    <row r="9" spans="2:6" x14ac:dyDescent="0.2">
      <c r="B9" s="152"/>
      <c r="C9" s="148" t="s">
        <v>184</v>
      </c>
    </row>
    <row r="10" spans="2:6" x14ac:dyDescent="0.2">
      <c r="B10" s="39"/>
      <c r="C10" s="148" t="s">
        <v>185</v>
      </c>
    </row>
    <row r="12" spans="2:6" ht="15" x14ac:dyDescent="0.25">
      <c r="C12" s="149" t="s">
        <v>186</v>
      </c>
    </row>
    <row r="13" spans="2:6" ht="89.25" x14ac:dyDescent="0.2">
      <c r="C13" s="150" t="s">
        <v>187</v>
      </c>
    </row>
    <row r="14" spans="2:6" ht="15" x14ac:dyDescent="0.25">
      <c r="C14" s="151" t="s">
        <v>188</v>
      </c>
    </row>
    <row r="15" spans="2:6" ht="25.5" x14ac:dyDescent="0.2">
      <c r="C15" s="150" t="s">
        <v>189</v>
      </c>
    </row>
    <row r="16" spans="2:6" x14ac:dyDescent="0.2">
      <c r="C16" s="150"/>
    </row>
    <row r="17" spans="3:3" ht="15" x14ac:dyDescent="0.25">
      <c r="C17" s="151" t="s">
        <v>190</v>
      </c>
    </row>
    <row r="18" spans="3:3" ht="38.25" x14ac:dyDescent="0.2">
      <c r="C18" s="150" t="s">
        <v>191</v>
      </c>
    </row>
    <row r="19" spans="3:3" ht="15" x14ac:dyDescent="0.25">
      <c r="C19" s="151" t="s">
        <v>192</v>
      </c>
    </row>
    <row r="20" spans="3:3" ht="25.5" x14ac:dyDescent="0.2">
      <c r="C20" s="150" t="s">
        <v>193</v>
      </c>
    </row>
    <row r="22" spans="3:3" x14ac:dyDescent="0.2">
      <c r="C22" t="s">
        <v>194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10</vt:i4>
      </vt:variant>
    </vt:vector>
  </HeadingPairs>
  <TitlesOfParts>
    <vt:vector size="14" baseType="lpstr">
      <vt:lpstr>Příprava TV+návrh NZ</vt:lpstr>
      <vt:lpstr>tisk</vt:lpstr>
      <vt:lpstr>návod-výkonů</vt:lpstr>
      <vt:lpstr>návod-NZ</vt:lpstr>
      <vt:lpstr>aku</vt:lpstr>
      <vt:lpstr>ele</vt:lpstr>
      <vt:lpstr>gas</vt:lpstr>
      <vt:lpstr>ost</vt:lpstr>
      <vt:lpstr>per</vt:lpstr>
      <vt:lpstr>pot</vt:lpstr>
      <vt:lpstr>spot</vt:lpstr>
      <vt:lpstr>ukl</vt:lpstr>
      <vt:lpstr>uzi</vt:lpstr>
      <vt:lpstr>ztv</vt:lpstr>
    </vt:vector>
  </TitlesOfParts>
  <Company>METROPROJEKT Praha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Dimenzování ohřevu teplé vody</dc:title>
  <dc:subject>TUV</dc:subject>
  <dc:creator>Beber</dc:creator>
  <cp:keywords>TUV</cp:keywords>
  <cp:lastModifiedBy>Špindler Filip</cp:lastModifiedBy>
  <cp:lastPrinted>2018-08-03T07:19:37Z</cp:lastPrinted>
  <dcterms:created xsi:type="dcterms:W3CDTF">2006-08-14T08:17:55Z</dcterms:created>
  <dcterms:modified xsi:type="dcterms:W3CDTF">2023-11-02T20:27:23Z</dcterms:modified>
  <cp:category>šablona výpočtu</cp:category>
</cp:coreProperties>
</file>